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51B539FD-BAD4-43A6-B081-C37A6FA3AE91}" xr6:coauthVersionLast="47" xr6:coauthVersionMax="47" xr10:uidLastSave="{00000000-0000-0000-0000-000000000000}"/>
  <bookViews>
    <workbookView xWindow="4395" yWindow="1350" windowWidth="20160" windowHeight="13170" xr2:uid="{AE2FF9C3-55E8-4A23-8C84-2A1B5356011F}"/>
  </bookViews>
  <sheets>
    <sheet name="Reg4_NA_CA_Caribbean_TMYx_EPW_P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</calcChain>
</file>

<file path=xl/sharedStrings.xml><?xml version="1.0" encoding="utf-8"?>
<sst xmlns="http://schemas.openxmlformats.org/spreadsheetml/2006/main" count="6146" uniqueCount="908">
  <si>
    <t>Country</t>
  </si>
  <si>
    <t>State</t>
  </si>
  <si>
    <t>City/Station</t>
  </si>
  <si>
    <t>WMO</t>
  </si>
  <si>
    <t>Source Data</t>
  </si>
  <si>
    <t>URL</t>
  </si>
  <si>
    <t>ABW</t>
  </si>
  <si>
    <t>AA</t>
  </si>
  <si>
    <t>Queen.Beatrix.Intl.AP</t>
  </si>
  <si>
    <t>Custom-789820</t>
  </si>
  <si>
    <t>SRC-TMYx</t>
  </si>
  <si>
    <t>AIA</t>
  </si>
  <si>
    <t>TV</t>
  </si>
  <si>
    <t>Anguilla-Lloyd.Intl.AP</t>
  </si>
  <si>
    <t>Custom-788460</t>
  </si>
  <si>
    <t>ATG</t>
  </si>
  <si>
    <t>JO</t>
  </si>
  <si>
    <t>Coolidge.Field-Antigua.Aux.AFB</t>
  </si>
  <si>
    <t>ERA5-TMYx</t>
  </si>
  <si>
    <t>Bird.Intl.AP</t>
  </si>
  <si>
    <t>Custom-788620</t>
  </si>
  <si>
    <t>St.Johns</t>
  </si>
  <si>
    <t>BB</t>
  </si>
  <si>
    <t>Barbuda</t>
  </si>
  <si>
    <t>Custom-998441</t>
  </si>
  <si>
    <t>BES</t>
  </si>
  <si>
    <t>SE</t>
  </si>
  <si>
    <t>St.Eustatius-Roosevelt.AP</t>
  </si>
  <si>
    <t>Custom-788730</t>
  </si>
  <si>
    <t>BO</t>
  </si>
  <si>
    <t>Bonaire-Flamingo.Intl.AP</t>
  </si>
  <si>
    <t>Custom-789900</t>
  </si>
  <si>
    <t>BHS</t>
  </si>
  <si>
    <t>WB</t>
  </si>
  <si>
    <t>West.End.Intl.AP</t>
  </si>
  <si>
    <t>Custom-780610</t>
  </si>
  <si>
    <t>FP</t>
  </si>
  <si>
    <t>Freeport-Grand.Bahama.Intl.AP</t>
  </si>
  <si>
    <t>Custom-780620</t>
  </si>
  <si>
    <t>Grand.Bahama.Island</t>
  </si>
  <si>
    <t>GT</t>
  </si>
  <si>
    <t>Green.Turtle.Cay</t>
  </si>
  <si>
    <t>BI</t>
  </si>
  <si>
    <t>Bimini-South.Bimini.Island</t>
  </si>
  <si>
    <t>South.Bimini.Island.AP</t>
  </si>
  <si>
    <t>NW</t>
  </si>
  <si>
    <t>Nassau.Intl.AP</t>
  </si>
  <si>
    <t>Custom-780730</t>
  </si>
  <si>
    <t>NE</t>
  </si>
  <si>
    <t>Eleuthera-North.Eleuthera.Island</t>
  </si>
  <si>
    <t>HB</t>
  </si>
  <si>
    <t>Eleuthera-Coffin.Hills-Harbour.Island-Governors.Harbour.AP</t>
  </si>
  <si>
    <t>Eleuthera-Dunmore.Town-Harbour.Island</t>
  </si>
  <si>
    <t>SN</t>
  </si>
  <si>
    <t>Andros.Town-Andros.Island</t>
  </si>
  <si>
    <t>Mangrove.Cay-Andros.Island</t>
  </si>
  <si>
    <t>Kemps.Bay-Andros.Island</t>
  </si>
  <si>
    <t>CI</t>
  </si>
  <si>
    <t>The.Bight.Cat.Island</t>
  </si>
  <si>
    <t>SS</t>
  </si>
  <si>
    <t>Cockburn.Town-San.Salvador.Island.AP</t>
  </si>
  <si>
    <t>CK</t>
  </si>
  <si>
    <t>Moss.Town-Exuma.Intl.AP</t>
  </si>
  <si>
    <t>EM</t>
  </si>
  <si>
    <t>George.Town.AP-Great.Exuma.Island</t>
  </si>
  <si>
    <t>LI</t>
  </si>
  <si>
    <t>Clarence.Town-Deadmans.Cay-Long.Island</t>
  </si>
  <si>
    <t>RI</t>
  </si>
  <si>
    <t>Duncan.Town-Ragged.Island</t>
  </si>
  <si>
    <t>Colonel.Hill-Church.Grove-Crooked.Island</t>
  </si>
  <si>
    <t>MG</t>
  </si>
  <si>
    <t>Abrahams.Bay-Mayaguana.Island</t>
  </si>
  <si>
    <t>IN</t>
  </si>
  <si>
    <t>Matthew.Town-Inagua.Island</t>
  </si>
  <si>
    <t>Matthew.Town.AP</t>
  </si>
  <si>
    <t>BLM</t>
  </si>
  <si>
    <t>SB</t>
  </si>
  <si>
    <t>Gustavia</t>
  </si>
  <si>
    <t>BLZ</t>
  </si>
  <si>
    <t>BZ</t>
  </si>
  <si>
    <t>Belize.City-Goldson.Intl.AP</t>
  </si>
  <si>
    <t>Custom-785830</t>
  </si>
  <si>
    <t>Belize.City.Muni.AP</t>
  </si>
  <si>
    <t>Half.Moon.Caye</t>
  </si>
  <si>
    <t>TOL</t>
  </si>
  <si>
    <t>Hunting.Caye</t>
  </si>
  <si>
    <t>BMU</t>
  </si>
  <si>
    <t>SA</t>
  </si>
  <si>
    <t>Little.Sound-Bermuda.NAS.Annex</t>
  </si>
  <si>
    <t>SC</t>
  </si>
  <si>
    <t>Saint.George-Wade.Intl.AP</t>
  </si>
  <si>
    <t>Custom-780160</t>
  </si>
  <si>
    <t>Esso.Pier</t>
  </si>
  <si>
    <t>Custom-998170</t>
  </si>
  <si>
    <t>BRB</t>
  </si>
  <si>
    <t>CC</t>
  </si>
  <si>
    <t>Seawell-Adams.Intl.AP</t>
  </si>
  <si>
    <t>Custom-789540</t>
  </si>
  <si>
    <t>CRI</t>
  </si>
  <si>
    <t>Finca.Favorita</t>
  </si>
  <si>
    <t>PU</t>
  </si>
  <si>
    <t>Parrita</t>
  </si>
  <si>
    <t>GU</t>
  </si>
  <si>
    <t>Nicoya.AP</t>
  </si>
  <si>
    <t>Puntarenas</t>
  </si>
  <si>
    <t>SJ</t>
  </si>
  <si>
    <t>San.Jose-La.Sabana</t>
  </si>
  <si>
    <t>Paso.Canoas.AP</t>
  </si>
  <si>
    <t>Chacarita-Puntarenas.AP</t>
  </si>
  <si>
    <t>AL</t>
  </si>
  <si>
    <t>San.Jose-Santamaria.Intl.AP</t>
  </si>
  <si>
    <t>Custom-787620</t>
  </si>
  <si>
    <t>San.Jose-Bolanos.Intl.AP</t>
  </si>
  <si>
    <t>Custom-787640</t>
  </si>
  <si>
    <t>Limon.Intl.AP</t>
  </si>
  <si>
    <t>Custom-787670</t>
  </si>
  <si>
    <t>Palmar.Sur-Southern.Zone.Intl.AP</t>
  </si>
  <si>
    <t>Quiros-Liberia.Intl.AP</t>
  </si>
  <si>
    <t>Custom-787740</t>
  </si>
  <si>
    <t>CUB</t>
  </si>
  <si>
    <t>IJ</t>
  </si>
  <si>
    <t>Rafael.Cabrera.AP</t>
  </si>
  <si>
    <t>CH</t>
  </si>
  <si>
    <t>Boyeros-Havana-Marti.Intl.AP</t>
  </si>
  <si>
    <t>Custom-782240</t>
  </si>
  <si>
    <t>MA</t>
  </si>
  <si>
    <t>Matanzas-Gomez.Intl.AP</t>
  </si>
  <si>
    <t>Custom-782290</t>
  </si>
  <si>
    <t>CA</t>
  </si>
  <si>
    <t>Cayo.Coco</t>
  </si>
  <si>
    <t>Custom-782390</t>
  </si>
  <si>
    <t>VC</t>
  </si>
  <si>
    <t>Santa.Clara.Rural</t>
  </si>
  <si>
    <t>Custom-782430</t>
  </si>
  <si>
    <t>CF</t>
  </si>
  <si>
    <t>Las.Villas-Gonzalez.AP</t>
  </si>
  <si>
    <t>Custom-782440</t>
  </si>
  <si>
    <t>CM</t>
  </si>
  <si>
    <t>Camaguey-Agramonte.Intl.AP</t>
  </si>
  <si>
    <t>Custom-782550</t>
  </si>
  <si>
    <t>Del.Rey.Intl.AP</t>
  </si>
  <si>
    <t>Custom-782561</t>
  </si>
  <si>
    <t>HO</t>
  </si>
  <si>
    <t>Holguin-Pais.Intl.AP</t>
  </si>
  <si>
    <t>Custom-782623</t>
  </si>
  <si>
    <t>Santiago-Maceo.Intl.AP</t>
  </si>
  <si>
    <t>Custom-782640</t>
  </si>
  <si>
    <t>Cabo.Lurecia</t>
  </si>
  <si>
    <t>Mariana.Grajales</t>
  </si>
  <si>
    <t>Gustavo.Rizo</t>
  </si>
  <si>
    <t>Orestes.Acosta</t>
  </si>
  <si>
    <t>PD</t>
  </si>
  <si>
    <t>Cabo.San.Antonio.Sandino</t>
  </si>
  <si>
    <t>Custom-783100</t>
  </si>
  <si>
    <t>La.Bajada</t>
  </si>
  <si>
    <t>Isabel.Rubio</t>
  </si>
  <si>
    <t>San.Julian.AB</t>
  </si>
  <si>
    <t>Pinar.Del.Rio</t>
  </si>
  <si>
    <t>Custom-783150</t>
  </si>
  <si>
    <t>Paso.Real.De.San.Diego</t>
  </si>
  <si>
    <t>Bahia.Honda</t>
  </si>
  <si>
    <t>Custom-783180</t>
  </si>
  <si>
    <t>La.Fe.Isla.De.La.Juventud</t>
  </si>
  <si>
    <t>Batabano</t>
  </si>
  <si>
    <t>Custom-783220</t>
  </si>
  <si>
    <t>Punta.Del.Este.Caves</t>
  </si>
  <si>
    <t>Custom-783240</t>
  </si>
  <si>
    <t>Casablanca.Havana</t>
  </si>
  <si>
    <t>Custom-783250</t>
  </si>
  <si>
    <t>Union.De.Reyes</t>
  </si>
  <si>
    <t>AR</t>
  </si>
  <si>
    <t>San.Antonio.Banos</t>
  </si>
  <si>
    <t>Custom-783280</t>
  </si>
  <si>
    <t>Playa.Giron</t>
  </si>
  <si>
    <t>Custom-783330</t>
  </si>
  <si>
    <t>Acuna.Intl.AP</t>
  </si>
  <si>
    <t>Custom-783334</t>
  </si>
  <si>
    <t>Sagua.La.Grande</t>
  </si>
  <si>
    <t>Cantarranas</t>
  </si>
  <si>
    <t>Custom-783440</t>
  </si>
  <si>
    <t>Jucaro</t>
  </si>
  <si>
    <t>Custom-783450</t>
  </si>
  <si>
    <t>Gomez.AP</t>
  </si>
  <si>
    <t>Santa.Clara.Santamaria.Intl.AP</t>
  </si>
  <si>
    <t>Custom-783465</t>
  </si>
  <si>
    <t>Caibarien</t>
  </si>
  <si>
    <t>Custom-783480</t>
  </si>
  <si>
    <t>Sancti.Spiritus</t>
  </si>
  <si>
    <t>Custom-783490</t>
  </si>
  <si>
    <t>Santa.Cruz.Del.Sur</t>
  </si>
  <si>
    <t>Custom-783510</t>
  </si>
  <si>
    <t>Nuevitas</t>
  </si>
  <si>
    <t>Custom-783530</t>
  </si>
  <si>
    <t>Camaguey</t>
  </si>
  <si>
    <t>Custom-783550</t>
  </si>
  <si>
    <t>LT</t>
  </si>
  <si>
    <t>Ameijeiras.AP</t>
  </si>
  <si>
    <t>Puerto.Padre</t>
  </si>
  <si>
    <t>Custom-783580</t>
  </si>
  <si>
    <t>GR</t>
  </si>
  <si>
    <t>Cabo.Cruz</t>
  </si>
  <si>
    <t>Custom-783600</t>
  </si>
  <si>
    <t>Contramaestre</t>
  </si>
  <si>
    <t>Custom-783630</t>
  </si>
  <si>
    <t>Punta.Lucrecia</t>
  </si>
  <si>
    <t>Custom-783650</t>
  </si>
  <si>
    <t>Gran.Piedra</t>
  </si>
  <si>
    <t>-</t>
  </si>
  <si>
    <t>Guantanamo.Bay.NAS</t>
  </si>
  <si>
    <t>Custom-783670</t>
  </si>
  <si>
    <t>Guantanamo</t>
  </si>
  <si>
    <t>Punta.De.Maisi</t>
  </si>
  <si>
    <t>Custom-783690</t>
  </si>
  <si>
    <t>CUW</t>
  </si>
  <si>
    <t>CU</t>
  </si>
  <si>
    <t>Hato.Intl.AP-Curacao.Intl.AP</t>
  </si>
  <si>
    <t>Custom-789880</t>
  </si>
  <si>
    <t>CYM</t>
  </si>
  <si>
    <t>SI</t>
  </si>
  <si>
    <t>Grand.Cayman-East.End</t>
  </si>
  <si>
    <t>Georgetown-Roberts.Intl.AP</t>
  </si>
  <si>
    <t>Custom-783840</t>
  </si>
  <si>
    <t>Kirkconnell.Intl.AP-Cayman.Brac</t>
  </si>
  <si>
    <t>Custom-783841</t>
  </si>
  <si>
    <t>High.Rock-Grand.Cayman</t>
  </si>
  <si>
    <t>Little.Cayman.AP</t>
  </si>
  <si>
    <t>DMA</t>
  </si>
  <si>
    <t>GO</t>
  </si>
  <si>
    <t>Roseau</t>
  </si>
  <si>
    <t>DOM</t>
  </si>
  <si>
    <t>MC</t>
  </si>
  <si>
    <t>Monte.Cristi</t>
  </si>
  <si>
    <t>PP</t>
  </si>
  <si>
    <t>Luperon.Intl.AP-Puerto.Plata.Intl.AP</t>
  </si>
  <si>
    <t>Custom-784570</t>
  </si>
  <si>
    <t>SM</t>
  </si>
  <si>
    <t>Samana</t>
  </si>
  <si>
    <t>Custom-784575</t>
  </si>
  <si>
    <t>Puerto.Plata</t>
  </si>
  <si>
    <t>Custom-784580</t>
  </si>
  <si>
    <t>ST</t>
  </si>
  <si>
    <t>Santiago-Cibao.Intl.AP</t>
  </si>
  <si>
    <t>Custom-784600</t>
  </si>
  <si>
    <t>MT</t>
  </si>
  <si>
    <t>Cabrera</t>
  </si>
  <si>
    <t>SZ</t>
  </si>
  <si>
    <t>Cotui-San.Miguel</t>
  </si>
  <si>
    <t>Samana-Arroyo.Barril</t>
  </si>
  <si>
    <t>HM</t>
  </si>
  <si>
    <t>Sabana.De.La.Mar</t>
  </si>
  <si>
    <t>Custom-784670</t>
  </si>
  <si>
    <t>MP</t>
  </si>
  <si>
    <t>Bayaguana</t>
  </si>
  <si>
    <t>NC</t>
  </si>
  <si>
    <t>Cabo.Engano</t>
  </si>
  <si>
    <t>Punta.Cana.Intl.AP</t>
  </si>
  <si>
    <t>Custom-784790</t>
  </si>
  <si>
    <t>Jimani</t>
  </si>
  <si>
    <t>BH</t>
  </si>
  <si>
    <t>Barahona-Montez.Intl.AP</t>
  </si>
  <si>
    <t>Custom-784820</t>
  </si>
  <si>
    <t>San.Geronimo</t>
  </si>
  <si>
    <t>SD</t>
  </si>
  <si>
    <t>Las.Americas.Intl.AP</t>
  </si>
  <si>
    <t>Custom-784850</t>
  </si>
  <si>
    <t>Santo.Domingo</t>
  </si>
  <si>
    <t>Custom-784860</t>
  </si>
  <si>
    <t>La.Isabela.Intl.AP</t>
  </si>
  <si>
    <t>Custom-784865</t>
  </si>
  <si>
    <t>RO</t>
  </si>
  <si>
    <t>La.Romana-Casa.de.Campo.Intl.AP</t>
  </si>
  <si>
    <t>Custom-784880</t>
  </si>
  <si>
    <t>GLP</t>
  </si>
  <si>
    <t>La.Desirade</t>
  </si>
  <si>
    <t>Abymes-Pointe.Pitre.Intl.AP</t>
  </si>
  <si>
    <t>Custom-788970</t>
  </si>
  <si>
    <t>GRD</t>
  </si>
  <si>
    <t>AN</t>
  </si>
  <si>
    <t>Pearls.AP</t>
  </si>
  <si>
    <t>GE</t>
  </si>
  <si>
    <t>St.Georges-Bishop.Intl.AP</t>
  </si>
  <si>
    <t>Custom-789580</t>
  </si>
  <si>
    <t>GTM</t>
  </si>
  <si>
    <t>Flores-Muno.Maya.Intl.AP</t>
  </si>
  <si>
    <t>Custom-786150</t>
  </si>
  <si>
    <t>PE</t>
  </si>
  <si>
    <t>Poptun</t>
  </si>
  <si>
    <t>HU</t>
  </si>
  <si>
    <t>Huehuetenango</t>
  </si>
  <si>
    <t>Custom-786270</t>
  </si>
  <si>
    <t>QZ</t>
  </si>
  <si>
    <t>Quetzaltenango-Xelaju</t>
  </si>
  <si>
    <t>AV</t>
  </si>
  <si>
    <t>Coban.AP</t>
  </si>
  <si>
    <t>Custom-786310</t>
  </si>
  <si>
    <t>Flores-Mundo.Maya.Intl.AP</t>
  </si>
  <si>
    <t>Custom-786311</t>
  </si>
  <si>
    <t>La.Libertad</t>
  </si>
  <si>
    <t>IZ</t>
  </si>
  <si>
    <t>Puerto.Barrios.AP</t>
  </si>
  <si>
    <t>Custom-786370</t>
  </si>
  <si>
    <t>CQ</t>
  </si>
  <si>
    <t>Esquipulas</t>
  </si>
  <si>
    <t>Custom-786372</t>
  </si>
  <si>
    <t>RE</t>
  </si>
  <si>
    <t>Champerico</t>
  </si>
  <si>
    <t>Paso.Caballos.AP</t>
  </si>
  <si>
    <t>Santa.Elena.Rural</t>
  </si>
  <si>
    <t>Custom-786376</t>
  </si>
  <si>
    <t>Retalhuleu.AP</t>
  </si>
  <si>
    <t>Custom-786390</t>
  </si>
  <si>
    <t>Ciudad.Guatemala-La.Aurora.Intl.AP</t>
  </si>
  <si>
    <t>Custom-786410</t>
  </si>
  <si>
    <t>ZA</t>
  </si>
  <si>
    <t>Zacapa</t>
  </si>
  <si>
    <t>Custom-786445</t>
  </si>
  <si>
    <t>ES</t>
  </si>
  <si>
    <t>Puerto.San.Jose-San.Jose.AP</t>
  </si>
  <si>
    <t>Custom-786470</t>
  </si>
  <si>
    <t>Quezaltenango.AP</t>
  </si>
  <si>
    <t>Custom-786475</t>
  </si>
  <si>
    <t>HND</t>
  </si>
  <si>
    <t>IB</t>
  </si>
  <si>
    <t>Swan.Islands-Islas.del.Cisne.AP</t>
  </si>
  <si>
    <t>VA</t>
  </si>
  <si>
    <t>Amapala</t>
  </si>
  <si>
    <t>Custom-787000</t>
  </si>
  <si>
    <t>Guanaja.AP</t>
  </si>
  <si>
    <t>Guanaja.Island</t>
  </si>
  <si>
    <t>Custom-787013</t>
  </si>
  <si>
    <t>Roatan-Galvez.Intl.AP</t>
  </si>
  <si>
    <t>CL</t>
  </si>
  <si>
    <t>Trujillo.AP</t>
  </si>
  <si>
    <t>Custom-787040</t>
  </si>
  <si>
    <t>AT</t>
  </si>
  <si>
    <t>La.Ceiba-Goloson.Intl.AP</t>
  </si>
  <si>
    <t>Custom-787050</t>
  </si>
  <si>
    <t>Tela.AP</t>
  </si>
  <si>
    <t>Custom-787060</t>
  </si>
  <si>
    <t>YO</t>
  </si>
  <si>
    <t>Yoro.AP</t>
  </si>
  <si>
    <t>Custom-787070</t>
  </si>
  <si>
    <t>CR</t>
  </si>
  <si>
    <t>La.Lima-Morales.Intl.AP</t>
  </si>
  <si>
    <t>Custom-787080</t>
  </si>
  <si>
    <t>GD</t>
  </si>
  <si>
    <t>Puerto.Lempira.AP</t>
  </si>
  <si>
    <t>Custom-787110</t>
  </si>
  <si>
    <t>OL</t>
  </si>
  <si>
    <t>Catacamas</t>
  </si>
  <si>
    <t>Custom-787140</t>
  </si>
  <si>
    <t>CP</t>
  </si>
  <si>
    <t>Santa.Rosa.De.Copan</t>
  </si>
  <si>
    <t>Custom-787170</t>
  </si>
  <si>
    <t>OC</t>
  </si>
  <si>
    <t>Nueva.Ocotepeque</t>
  </si>
  <si>
    <t>Custom-787180</t>
  </si>
  <si>
    <t>La.Esperanza</t>
  </si>
  <si>
    <t>Custom-787190</t>
  </si>
  <si>
    <t>FM</t>
  </si>
  <si>
    <t>Tegucigalpa-Toncontin.Intl.AP</t>
  </si>
  <si>
    <t>Custom-787200</t>
  </si>
  <si>
    <t>Comayagua-Soto.Cano.AB-Palmerola.Intl.AP</t>
  </si>
  <si>
    <t>Custom-787210</t>
  </si>
  <si>
    <t>Choluteca</t>
  </si>
  <si>
    <t>Custom-787240</t>
  </si>
  <si>
    <t>HTI</t>
  </si>
  <si>
    <t>ND</t>
  </si>
  <si>
    <t>Cap-Haitien.Intl.AP</t>
  </si>
  <si>
    <t>OU</t>
  </si>
  <si>
    <t>Port.Au.Prince-Louverture.Intl.AP</t>
  </si>
  <si>
    <t>Custom-784390</t>
  </si>
  <si>
    <t>Les.Cayes</t>
  </si>
  <si>
    <t>Jacmel</t>
  </si>
  <si>
    <t>JAM</t>
  </si>
  <si>
    <t>WE</t>
  </si>
  <si>
    <t>Negril.Point</t>
  </si>
  <si>
    <t>Montego.Bay-Sangster.Intl.AP</t>
  </si>
  <si>
    <t>Custom-783880</t>
  </si>
  <si>
    <t>KI</t>
  </si>
  <si>
    <t>Kingston-Manley.Intl.AP</t>
  </si>
  <si>
    <t>Custom-783970</t>
  </si>
  <si>
    <t>Morant.Point</t>
  </si>
  <si>
    <t>KNA</t>
  </si>
  <si>
    <t>GB</t>
  </si>
  <si>
    <t>Basseterre</t>
  </si>
  <si>
    <t>Basseterre-Bradshaw.Intl.AP</t>
  </si>
  <si>
    <t>JW</t>
  </si>
  <si>
    <t>Newcastle-Nevis-Amory.Intl.AP</t>
  </si>
  <si>
    <t>LCA</t>
  </si>
  <si>
    <t>CS</t>
  </si>
  <si>
    <t>Castries</t>
  </si>
  <si>
    <t>Castries-Charles.AP</t>
  </si>
  <si>
    <t>VF</t>
  </si>
  <si>
    <t>Hewanorra.Intl.AP</t>
  </si>
  <si>
    <t>Custom-789480</t>
  </si>
  <si>
    <t>MAF</t>
  </si>
  <si>
    <t>Marigot-Juliana.Intl.AP</t>
  </si>
  <si>
    <t>Custom-788660</t>
  </si>
  <si>
    <t>MEX</t>
  </si>
  <si>
    <t>BCN</t>
  </si>
  <si>
    <t>Tijuana-Rodriguez.Intl.AP</t>
  </si>
  <si>
    <t>Custom-760013</t>
  </si>
  <si>
    <t>Mexicali-Taboada.Intl.AP</t>
  </si>
  <si>
    <t>Custom-760053</t>
  </si>
  <si>
    <t>Nuevo.Leon</t>
  </si>
  <si>
    <t>Custom-760400</t>
  </si>
  <si>
    <t>Ensenada</t>
  </si>
  <si>
    <t>San.Felipe</t>
  </si>
  <si>
    <t>Custom-760550</t>
  </si>
  <si>
    <t>SON</t>
  </si>
  <si>
    <t>Puerto.Penasco</t>
  </si>
  <si>
    <t>Custom-760610</t>
  </si>
  <si>
    <t>CHH</t>
  </si>
  <si>
    <t>Ciudad.Juarez-Gonzalez.Intl.AP</t>
  </si>
  <si>
    <t>Custom-760753</t>
  </si>
  <si>
    <t>CHP</t>
  </si>
  <si>
    <t>Chiapa.de.Corzo-Corzo.Intl.AP</t>
  </si>
  <si>
    <t>Custom-760754</t>
  </si>
  <si>
    <t>Nogales.AP</t>
  </si>
  <si>
    <t>Altar</t>
  </si>
  <si>
    <t>Custom-761130</t>
  </si>
  <si>
    <t>Nacozari.de.Garcia</t>
  </si>
  <si>
    <t>Nueva.Casas.Grandes</t>
  </si>
  <si>
    <t>Custom-761220</t>
  </si>
  <si>
    <t>Villa.Ahumada</t>
  </si>
  <si>
    <t>Isla.Guadalupe</t>
  </si>
  <si>
    <t>Hermosillo</t>
  </si>
  <si>
    <t>Custom-761600</t>
  </si>
  <si>
    <t>BCS</t>
  </si>
  <si>
    <t>Santa.Rosalia</t>
  </si>
  <si>
    <t>Temosachic</t>
  </si>
  <si>
    <t>Custom-762200</t>
  </si>
  <si>
    <t>Chihuahua</t>
  </si>
  <si>
    <t>Custom-762250</t>
  </si>
  <si>
    <t>Chihuahua-Villalobos.Intl.AP</t>
  </si>
  <si>
    <t>Custom-762253</t>
  </si>
  <si>
    <t>COA</t>
  </si>
  <si>
    <t>Nuevo.Loredo-Piedras.Negras.Intl.AP</t>
  </si>
  <si>
    <t>Custom-762430</t>
  </si>
  <si>
    <t>Ciudad.Obregon.Intl.AP</t>
  </si>
  <si>
    <t>Custom-762530</t>
  </si>
  <si>
    <t>Guaymas</t>
  </si>
  <si>
    <t>Guaymas.Yanez.Intl.AP</t>
  </si>
  <si>
    <t>Custom-762555</t>
  </si>
  <si>
    <t>Empalme</t>
  </si>
  <si>
    <t>Custom-762560</t>
  </si>
  <si>
    <t>Ciudad.Obregon</t>
  </si>
  <si>
    <t>Custom-762580</t>
  </si>
  <si>
    <t>Sierra.Mojada</t>
  </si>
  <si>
    <t>TAM</t>
  </si>
  <si>
    <t>Nuevo.Laredo-Quetzalcoatl.Intl.AP</t>
  </si>
  <si>
    <t>Custom-762863</t>
  </si>
  <si>
    <t>Loreto.Intl.AP</t>
  </si>
  <si>
    <t>Custom-763050</t>
  </si>
  <si>
    <t>SIN</t>
  </si>
  <si>
    <t>Choix</t>
  </si>
  <si>
    <t>Custom-763110</t>
  </si>
  <si>
    <t>Hidalgo.del.Parral</t>
  </si>
  <si>
    <t>Custom-763230</t>
  </si>
  <si>
    <t>Monclova</t>
  </si>
  <si>
    <t>Custom-763420</t>
  </si>
  <si>
    <t>Mulege</t>
  </si>
  <si>
    <t>Camargo</t>
  </si>
  <si>
    <t>Reynosa-Blanco.Intl.AP</t>
  </si>
  <si>
    <t>Custom-763503</t>
  </si>
  <si>
    <t>Los.Mochis-Valle.del.Fuerte.Intl.AP</t>
  </si>
  <si>
    <t>Custom-763615</t>
  </si>
  <si>
    <t>DUR</t>
  </si>
  <si>
    <t>Tepehuanes</t>
  </si>
  <si>
    <t>Custom-763730</t>
  </si>
  <si>
    <t>Lerdo</t>
  </si>
  <si>
    <t>Torreon</t>
  </si>
  <si>
    <t>Custom-763820</t>
  </si>
  <si>
    <t>Saltillo</t>
  </si>
  <si>
    <t>Custom-763900</t>
  </si>
  <si>
    <t>NLE</t>
  </si>
  <si>
    <t>Monterrey</t>
  </si>
  <si>
    <t>Custom-763930</t>
  </si>
  <si>
    <t>Monterrey-del.Norte.Intl.AP</t>
  </si>
  <si>
    <t>Custom-763940</t>
  </si>
  <si>
    <t>Monterrey-Escobedo.Intl.AP</t>
  </si>
  <si>
    <t>Custom-763943</t>
  </si>
  <si>
    <t>Matamoros.City</t>
  </si>
  <si>
    <t>Matamoros-Canales.Intl.AP</t>
  </si>
  <si>
    <t>Custom-763993</t>
  </si>
  <si>
    <t>Puerto.Cortes</t>
  </si>
  <si>
    <t>Ciudad.Constitucion</t>
  </si>
  <si>
    <t>Custom-764020</t>
  </si>
  <si>
    <t>La.Paz</t>
  </si>
  <si>
    <t>Custom-764050</t>
  </si>
  <si>
    <t>La.Paz-de.Leon.Intl.AP</t>
  </si>
  <si>
    <t>Custom-764055</t>
  </si>
  <si>
    <t>Los.Cabos.Intl.AP</t>
  </si>
  <si>
    <t>Custom-764056</t>
  </si>
  <si>
    <t>Culiacan</t>
  </si>
  <si>
    <t>Custom-764120</t>
  </si>
  <si>
    <t>Cuidad.Culiacan</t>
  </si>
  <si>
    <t>Durango</t>
  </si>
  <si>
    <t>Custom-764230</t>
  </si>
  <si>
    <t>Durango-Guadalupe.Intl.AP</t>
  </si>
  <si>
    <t>Custom-764235</t>
  </si>
  <si>
    <t>Mazatlan</t>
  </si>
  <si>
    <t>Custom-764580</t>
  </si>
  <si>
    <t>Mazatlan-Buelna.Intl.AP</t>
  </si>
  <si>
    <t>Custom-764593</t>
  </si>
  <si>
    <t>ZAC</t>
  </si>
  <si>
    <t>Sombrerete</t>
  </si>
  <si>
    <t>Custom-764710</t>
  </si>
  <si>
    <t>YUC</t>
  </si>
  <si>
    <t>Isla.Perez</t>
  </si>
  <si>
    <t>Ciudad.Victoria</t>
  </si>
  <si>
    <t>Custom-764910</t>
  </si>
  <si>
    <t>Cuidad.Victoria-Mendez.Intl.AP</t>
  </si>
  <si>
    <t>Custom-764915</t>
  </si>
  <si>
    <t>Soto.la.Marina</t>
  </si>
  <si>
    <t>Custom-764990</t>
  </si>
  <si>
    <t>Huejucar</t>
  </si>
  <si>
    <t>JAL</t>
  </si>
  <si>
    <t>Colotlan</t>
  </si>
  <si>
    <t>Custom-765190</t>
  </si>
  <si>
    <t>Zacatecas-La.Bufa.Hill</t>
  </si>
  <si>
    <t>Custom-765250</t>
  </si>
  <si>
    <t>Zacatecas-Ruiz.Intl.AP</t>
  </si>
  <si>
    <t>Custom-765255</t>
  </si>
  <si>
    <t>Zacatecas</t>
  </si>
  <si>
    <t>SLP</t>
  </si>
  <si>
    <t>San.Luis.Potosi</t>
  </si>
  <si>
    <t>Custom-765390</t>
  </si>
  <si>
    <t>Tamuin</t>
  </si>
  <si>
    <t>Custom-765430</t>
  </si>
  <si>
    <t>Tampico</t>
  </si>
  <si>
    <t>Custom-765480</t>
  </si>
  <si>
    <t>Tampico-Mina.Intl.AP</t>
  </si>
  <si>
    <t>Custom-765493</t>
  </si>
  <si>
    <t>NAY</t>
  </si>
  <si>
    <t>Isla.Marias</t>
  </si>
  <si>
    <t>Tepic</t>
  </si>
  <si>
    <t>Custom-765560</t>
  </si>
  <si>
    <t>AGU</t>
  </si>
  <si>
    <t>Isla.Lobos</t>
  </si>
  <si>
    <t>Aguascalientes</t>
  </si>
  <si>
    <t>Custom-765710</t>
  </si>
  <si>
    <t>Lagos.de.Moreno</t>
  </si>
  <si>
    <t>GUA</t>
  </si>
  <si>
    <t>Leon-San.Carlos.AP</t>
  </si>
  <si>
    <t>Guanajuato</t>
  </si>
  <si>
    <t>Custom-765770</t>
  </si>
  <si>
    <t>Guanajuato.Intl.AP</t>
  </si>
  <si>
    <t>Custom-765773</t>
  </si>
  <si>
    <t>Cayo.Arenas.Lighthouse</t>
  </si>
  <si>
    <t>Rioverde</t>
  </si>
  <si>
    <t>Custom-765810</t>
  </si>
  <si>
    <t>VER</t>
  </si>
  <si>
    <t>Gutierrez.Zamora</t>
  </si>
  <si>
    <t>Poza.Rica.AP</t>
  </si>
  <si>
    <t>Matlapa</t>
  </si>
  <si>
    <t>Custom-765850</t>
  </si>
  <si>
    <t>Progreso</t>
  </si>
  <si>
    <t>Custom-765930</t>
  </si>
  <si>
    <t>ROO</t>
  </si>
  <si>
    <t>Cancun.Intl.AP</t>
  </si>
  <si>
    <t>Custom-765950</t>
  </si>
  <si>
    <t>Isla.Mujeres</t>
  </si>
  <si>
    <t>Puerto.Vallarta-Ordaz.Intl.AP</t>
  </si>
  <si>
    <t>Custom-766013</t>
  </si>
  <si>
    <t>Zapopan</t>
  </si>
  <si>
    <t>Guadalajara-Chapalita</t>
  </si>
  <si>
    <t>Custom-766120</t>
  </si>
  <si>
    <t>Tihuatian-El.Tajin.AP</t>
  </si>
  <si>
    <t>Custom-766127</t>
  </si>
  <si>
    <t>Guadalajara-Santa.Maria</t>
  </si>
  <si>
    <t>Guadalajara-Costilla.Intl.AP</t>
  </si>
  <si>
    <t>Custom-766133</t>
  </si>
  <si>
    <t>San.Jose.Del.Cabo</t>
  </si>
  <si>
    <t>QUE</t>
  </si>
  <si>
    <t>Queretaro</t>
  </si>
  <si>
    <t>Custom-766250</t>
  </si>
  <si>
    <t>HID</t>
  </si>
  <si>
    <t>Pachuca</t>
  </si>
  <si>
    <t>Custom-766320</t>
  </si>
  <si>
    <t>Tulancingo</t>
  </si>
  <si>
    <t>Custom-766340</t>
  </si>
  <si>
    <t>Tuxpan</t>
  </si>
  <si>
    <t>Custom-766400</t>
  </si>
  <si>
    <t>Azcatlan</t>
  </si>
  <si>
    <t>Triangulos.Reefs</t>
  </si>
  <si>
    <t>Nautla</t>
  </si>
  <si>
    <t>Isla.Cayo.Arcas</t>
  </si>
  <si>
    <t>Merida-Rejon.Intl.AP</t>
  </si>
  <si>
    <t>Custom-766440</t>
  </si>
  <si>
    <t>Merida.Licenciado</t>
  </si>
  <si>
    <t>Valladolid</t>
  </si>
  <si>
    <t>Custom-766470</t>
  </si>
  <si>
    <t>Cozumel.Intl.AP</t>
  </si>
  <si>
    <t>Custom-766490</t>
  </si>
  <si>
    <t>COL</t>
  </si>
  <si>
    <t>Manzanillo-Playa.de.Oro.Intl.AP</t>
  </si>
  <si>
    <t>Custom-766534</t>
  </si>
  <si>
    <t>Manzanillo</t>
  </si>
  <si>
    <t>Custom-766540</t>
  </si>
  <si>
    <t>MIC</t>
  </si>
  <si>
    <t>Uruapan-Rayon.Intl.AP</t>
  </si>
  <si>
    <t>Custom-766546</t>
  </si>
  <si>
    <t>Ciudad.Guzman</t>
  </si>
  <si>
    <t>Custom-766560</t>
  </si>
  <si>
    <t>Colima.AP</t>
  </si>
  <si>
    <t>Custom-766580</t>
  </si>
  <si>
    <t>Colima</t>
  </si>
  <si>
    <t>Zamora.de.Hildago</t>
  </si>
  <si>
    <t>Custom-766620</t>
  </si>
  <si>
    <t>Morelia</t>
  </si>
  <si>
    <t>Custom-766650</t>
  </si>
  <si>
    <t>Morelia-Mujica.Intl.AP</t>
  </si>
  <si>
    <t>Custom-766655</t>
  </si>
  <si>
    <t>Fes.Cuautitlan</t>
  </si>
  <si>
    <t>Toluca.de.Lerdo</t>
  </si>
  <si>
    <t>Custom-766750</t>
  </si>
  <si>
    <t>Toluca-Mateos.Intl.AP</t>
  </si>
  <si>
    <t>Custom-766753</t>
  </si>
  <si>
    <t>CMX</t>
  </si>
  <si>
    <t>Cuidad.Mexico-Mexico.City.Intl.AP-Juarez.Intl.AP</t>
  </si>
  <si>
    <t>Custom-766793</t>
  </si>
  <si>
    <t>Cuidad.Mexico.Central</t>
  </si>
  <si>
    <t>Custom-766800</t>
  </si>
  <si>
    <t>Ciudad.Universitaria-Geografia.Univ</t>
  </si>
  <si>
    <t>Custom-766810</t>
  </si>
  <si>
    <t>TLA</t>
  </si>
  <si>
    <t>Tlaxcala</t>
  </si>
  <si>
    <t>Custom-766830</t>
  </si>
  <si>
    <t>PUE</t>
  </si>
  <si>
    <t>Puebla</t>
  </si>
  <si>
    <t>Custom-766850</t>
  </si>
  <si>
    <t>Xalapa</t>
  </si>
  <si>
    <t>Custom-766870</t>
  </si>
  <si>
    <t>Lencero</t>
  </si>
  <si>
    <t>Veracruz</t>
  </si>
  <si>
    <t>Veracruz-Jara.Intl.AP</t>
  </si>
  <si>
    <t>Custom-766913</t>
  </si>
  <si>
    <t>Veracruz-Hacienda.Ylang.Ylang</t>
  </si>
  <si>
    <t>Custom-766920</t>
  </si>
  <si>
    <t>CAM</t>
  </si>
  <si>
    <t>Campeche-Ongay.Intl.AP</t>
  </si>
  <si>
    <t>Custom-766950</t>
  </si>
  <si>
    <t>Campeche-Ignacio</t>
  </si>
  <si>
    <t>Felipe.Carrillo.Puerto</t>
  </si>
  <si>
    <t>Custom-766980</t>
  </si>
  <si>
    <t>Isla.Socorro</t>
  </si>
  <si>
    <t>MOR</t>
  </si>
  <si>
    <t>Cuernavaca-Matamoros.Intl.AP</t>
  </si>
  <si>
    <t>Custom-767260</t>
  </si>
  <si>
    <t>Zacatepec</t>
  </si>
  <si>
    <t>Orizaba</t>
  </si>
  <si>
    <t>Custom-767370</t>
  </si>
  <si>
    <t>Tehuacan</t>
  </si>
  <si>
    <t>Cordoba</t>
  </si>
  <si>
    <t>Minatitlan.Intl.AP</t>
  </si>
  <si>
    <t>Custom-767383</t>
  </si>
  <si>
    <t>Coatzacoalcos</t>
  </si>
  <si>
    <t>Custom-767410</t>
  </si>
  <si>
    <t>TAB</t>
  </si>
  <si>
    <t>Villahermosa</t>
  </si>
  <si>
    <t>Custom-767430</t>
  </si>
  <si>
    <t>Villahermosa-Perez.Intl.AP</t>
  </si>
  <si>
    <t>Custom-767433</t>
  </si>
  <si>
    <t>Villahermosa-Bosque.de-Saloya</t>
  </si>
  <si>
    <t>Ciudad.del.Carmen</t>
  </si>
  <si>
    <t>Ciudad.del.Carmen.Intl.AP</t>
  </si>
  <si>
    <t>Custom-767493</t>
  </si>
  <si>
    <t>Chetumal.Intl.AP</t>
  </si>
  <si>
    <t>Custom-767500</t>
  </si>
  <si>
    <t>Chichen.Itza.Intl.AP</t>
  </si>
  <si>
    <t>Custom-767501</t>
  </si>
  <si>
    <t>OAX</t>
  </si>
  <si>
    <t>Ixtepec.AP</t>
  </si>
  <si>
    <t>Custom-767502</t>
  </si>
  <si>
    <t>Cabo.San.Lucas.Intl.AP</t>
  </si>
  <si>
    <t>Custom-767503</t>
  </si>
  <si>
    <t>Chetumal</t>
  </si>
  <si>
    <t>GRO</t>
  </si>
  <si>
    <t>Zihuatanejo</t>
  </si>
  <si>
    <t>Ixtapa-Zihuatanejo.Intl.AP</t>
  </si>
  <si>
    <t>Custom-767584</t>
  </si>
  <si>
    <t>Chilpancingo</t>
  </si>
  <si>
    <t>Custom-767620</t>
  </si>
  <si>
    <t>Huajuapan.de.Leon</t>
  </si>
  <si>
    <t>Custom-767730</t>
  </si>
  <si>
    <t>Oaxaca-Xoxocotlan.Intl.AP</t>
  </si>
  <si>
    <t>Custom-767750</t>
  </si>
  <si>
    <t>Tequesquitengo</t>
  </si>
  <si>
    <t>Acapulco</t>
  </si>
  <si>
    <t>Custom-768050</t>
  </si>
  <si>
    <t>Pinotepa.Natl.AP</t>
  </si>
  <si>
    <t>Acapulco-Alvarez.Intl.AP</t>
  </si>
  <si>
    <t>Custom-768056</t>
  </si>
  <si>
    <t>Salina.Cruz</t>
  </si>
  <si>
    <t>Custom-768330</t>
  </si>
  <si>
    <t>Arriaga</t>
  </si>
  <si>
    <t>Custom-768400</t>
  </si>
  <si>
    <t>Tuxtla.Gutierrez</t>
  </si>
  <si>
    <t>Custom-768430</t>
  </si>
  <si>
    <t>Palizada</t>
  </si>
  <si>
    <t>San.Cristobal.de.Las.Casas-Jovel</t>
  </si>
  <si>
    <t>Custom-768450</t>
  </si>
  <si>
    <t>Comitan.de.Dominguiz</t>
  </si>
  <si>
    <t>Custom-768480</t>
  </si>
  <si>
    <t>Bahias.de.Huatulco.Intl.AP</t>
  </si>
  <si>
    <t>Custom-768485</t>
  </si>
  <si>
    <t>Puerto.Angel-San.Pedro.Pochutla</t>
  </si>
  <si>
    <t>Custom-768550</t>
  </si>
  <si>
    <t>Puerto.Escondido.Intl.AP</t>
  </si>
  <si>
    <t>Custom-768556</t>
  </si>
  <si>
    <t>Tapachula</t>
  </si>
  <si>
    <t>Custom-769030</t>
  </si>
  <si>
    <t>Tapachula.Intl.AP</t>
  </si>
  <si>
    <t>Custom-769043</t>
  </si>
  <si>
    <t>Lazaro.Cardenas</t>
  </si>
  <si>
    <t>Pasteje</t>
  </si>
  <si>
    <t>Yucatan.Basin.Buoy</t>
  </si>
  <si>
    <t>Custom-997395</t>
  </si>
  <si>
    <t>La.Mancha.Beach</t>
  </si>
  <si>
    <t>Custom-998437</t>
  </si>
  <si>
    <t>MSR</t>
  </si>
  <si>
    <t>Blackburne-Plymouth</t>
  </si>
  <si>
    <t>SP</t>
  </si>
  <si>
    <t>Geralds-Osborne.AP</t>
  </si>
  <si>
    <t>MTQ</t>
  </si>
  <si>
    <t>TR</t>
  </si>
  <si>
    <t>Trinite-Caravelle</t>
  </si>
  <si>
    <t>Custom-789220</t>
  </si>
  <si>
    <t>Le.Diamant</t>
  </si>
  <si>
    <t>FF</t>
  </si>
  <si>
    <t>Martinique-Cesaire.Intl.AP</t>
  </si>
  <si>
    <t>Custom-789250</t>
  </si>
  <si>
    <t>NIC</t>
  </si>
  <si>
    <t>Puerto.Cabezas-Bilwi.AP</t>
  </si>
  <si>
    <t>Custom-787300</t>
  </si>
  <si>
    <t>Nandaime</t>
  </si>
  <si>
    <t>MS</t>
  </si>
  <si>
    <t>Masatepe</t>
  </si>
  <si>
    <t>Rivas</t>
  </si>
  <si>
    <t>Custom-787330</t>
  </si>
  <si>
    <t>JI</t>
  </si>
  <si>
    <t>Jinotega</t>
  </si>
  <si>
    <t>Custom-787340</t>
  </si>
  <si>
    <t>CO</t>
  </si>
  <si>
    <t>Juigalpa</t>
  </si>
  <si>
    <t>Custom-787350</t>
  </si>
  <si>
    <t>LE</t>
  </si>
  <si>
    <t>Urroz.AP</t>
  </si>
  <si>
    <t>Chinandega.AP</t>
  </si>
  <si>
    <t>Custom-787390</t>
  </si>
  <si>
    <t>MN</t>
  </si>
  <si>
    <t>Managua-Sandino.Intl.AP</t>
  </si>
  <si>
    <t>Custom-787410</t>
  </si>
  <si>
    <t>San.Carlos</t>
  </si>
  <si>
    <t>AS</t>
  </si>
  <si>
    <t>Bluefields.Intl.AP</t>
  </si>
  <si>
    <t>Custom-787450</t>
  </si>
  <si>
    <t>PAN</t>
  </si>
  <si>
    <t>PO</t>
  </si>
  <si>
    <t>Chame.AF</t>
  </si>
  <si>
    <t>PM</t>
  </si>
  <si>
    <t>Isla.del.Rey</t>
  </si>
  <si>
    <t>La.Mitra</t>
  </si>
  <si>
    <t>La.Joya</t>
  </si>
  <si>
    <t>Caimitillo-Calzada.Larga.AP</t>
  </si>
  <si>
    <t>Mandinga.AF</t>
  </si>
  <si>
    <t>San.Jose.Island</t>
  </si>
  <si>
    <t>Lake.Gatun</t>
  </si>
  <si>
    <t>LS</t>
  </si>
  <si>
    <t>Pocri-La.Candelaria.AP</t>
  </si>
  <si>
    <t>Aguadulce.AP</t>
  </si>
  <si>
    <t>Panama-Albrook.Gelabert.Intl.AP</t>
  </si>
  <si>
    <t>Custom-783842</t>
  </si>
  <si>
    <t>Colon-Jimenez.Intl.AP</t>
  </si>
  <si>
    <t>La.Enea-Vergara.AP</t>
  </si>
  <si>
    <t>El.Porvenir.AP</t>
  </si>
  <si>
    <t>Puerto.Obaldia.AP</t>
  </si>
  <si>
    <t>Tocumen.Intl.AP</t>
  </si>
  <si>
    <t>Custom-787920</t>
  </si>
  <si>
    <t>David-Malek.Intl.AP</t>
  </si>
  <si>
    <t>Custom-787930</t>
  </si>
  <si>
    <t>BC</t>
  </si>
  <si>
    <t>Bocas.Del.Toro-Isla.Colon.Intl.AP</t>
  </si>
  <si>
    <t>Custom-787935</t>
  </si>
  <si>
    <t>Changuinola-Nino.Intl.AP</t>
  </si>
  <si>
    <t>VR</t>
  </si>
  <si>
    <t>Santiago.de.Veraguas-Cantu.AP</t>
  </si>
  <si>
    <t>Custom-787950</t>
  </si>
  <si>
    <t>Panama.Pacifico.Intl.AP</t>
  </si>
  <si>
    <t>HE</t>
  </si>
  <si>
    <t>Chitre-Valderrama.AP</t>
  </si>
  <si>
    <t>Ft.Sherman.Rocob</t>
  </si>
  <si>
    <t>Chiva.Chiva-Panama.City</t>
  </si>
  <si>
    <t>Panama</t>
  </si>
  <si>
    <t>DA</t>
  </si>
  <si>
    <t>La.Palma-Xatruch.AP</t>
  </si>
  <si>
    <t>Rio.Hato-Martinez.Intl.AP</t>
  </si>
  <si>
    <t>Jaque.AP</t>
  </si>
  <si>
    <t>PRI</t>
  </si>
  <si>
    <t>Aguadilla-Hernandez.AP</t>
  </si>
  <si>
    <t>Custom-785140</t>
  </si>
  <si>
    <t>Mayaguez-De.Hostos.AP</t>
  </si>
  <si>
    <t>Custom-785145</t>
  </si>
  <si>
    <t>Ponce-Mercedita.Intl.AP</t>
  </si>
  <si>
    <t>Custom-785203</t>
  </si>
  <si>
    <t>CN</t>
  </si>
  <si>
    <t>San.Juan-Marin.Intl.AP</t>
  </si>
  <si>
    <t>Custom-785260</t>
  </si>
  <si>
    <t>Dominicci.AP-Isla.Grande.AP</t>
  </si>
  <si>
    <t>Custom-785265</t>
  </si>
  <si>
    <t>CB</t>
  </si>
  <si>
    <t>Ceiba-Aponte-De.La.Torre.AP</t>
  </si>
  <si>
    <t>Custom-785350</t>
  </si>
  <si>
    <t>Cape.San.Juan.CGLS</t>
  </si>
  <si>
    <t>San.Juan</t>
  </si>
  <si>
    <t>Custom-994043</t>
  </si>
  <si>
    <t>LJ</t>
  </si>
  <si>
    <t>Maguesyes.Islands</t>
  </si>
  <si>
    <t>Custom-997350</t>
  </si>
  <si>
    <t>Jobos.Bay.Reserve</t>
  </si>
  <si>
    <t>Custom-998003</t>
  </si>
  <si>
    <t>AC</t>
  </si>
  <si>
    <t>Arecibo</t>
  </si>
  <si>
    <t>Custom-998246</t>
  </si>
  <si>
    <t>FJ</t>
  </si>
  <si>
    <t>Fajardo</t>
  </si>
  <si>
    <t>Custom-998247</t>
  </si>
  <si>
    <t>Mayaguez</t>
  </si>
  <si>
    <t>Custom-998248</t>
  </si>
  <si>
    <t>GL</t>
  </si>
  <si>
    <t>Penuelas</t>
  </si>
  <si>
    <t>YB</t>
  </si>
  <si>
    <t>Yabucoa.Harbor</t>
  </si>
  <si>
    <t>Custom-998251</t>
  </si>
  <si>
    <t>VQ</t>
  </si>
  <si>
    <t>Vieques</t>
  </si>
  <si>
    <t>Culebra</t>
  </si>
  <si>
    <t>Esperanza</t>
  </si>
  <si>
    <t>Custom-998301</t>
  </si>
  <si>
    <t>Mona.Island-Mona.AP</t>
  </si>
  <si>
    <t>Custom-998304</t>
  </si>
  <si>
    <t>SLV</t>
  </si>
  <si>
    <t>SO</t>
  </si>
  <si>
    <t>Acajutla</t>
  </si>
  <si>
    <t>Custom-786500</t>
  </si>
  <si>
    <t>Santa.Ana-El.Palmar.Station</t>
  </si>
  <si>
    <t>Custom-786550</t>
  </si>
  <si>
    <t>Univ.San.Salvador</t>
  </si>
  <si>
    <t>San.Salvador-Ilopango.Intl.AP</t>
  </si>
  <si>
    <t>Custom-786630</t>
  </si>
  <si>
    <t>Comalapa-El.Salvador.Intl.AP</t>
  </si>
  <si>
    <t>Custom-786660</t>
  </si>
  <si>
    <t>San.Miguel-El.Papalon.AP</t>
  </si>
  <si>
    <t>Custom-786700</t>
  </si>
  <si>
    <t>UN</t>
  </si>
  <si>
    <t>La.Union</t>
  </si>
  <si>
    <t>SPM</t>
  </si>
  <si>
    <t>Saint.Pierre.AP</t>
  </si>
  <si>
    <t>Custom-718050</t>
  </si>
  <si>
    <t>ML</t>
  </si>
  <si>
    <t>Miquelon.AP</t>
  </si>
  <si>
    <t>Custom-718055</t>
  </si>
  <si>
    <t>SXM</t>
  </si>
  <si>
    <t>Philipsburg-Juliana.Intl.AP</t>
  </si>
  <si>
    <t>TCA</t>
  </si>
  <si>
    <t>TC</t>
  </si>
  <si>
    <t>Providenciales.Intl.AP</t>
  </si>
  <si>
    <t>Custom-781140</t>
  </si>
  <si>
    <t>Cockburn.Harbour-Turks.Island</t>
  </si>
  <si>
    <t>Custom-781180</t>
  </si>
  <si>
    <t>TTO</t>
  </si>
  <si>
    <t>TO</t>
  </si>
  <si>
    <t>Canaan-Scarborough-Robinson.Intl.AP</t>
  </si>
  <si>
    <t>Custom-789613</t>
  </si>
  <si>
    <t>Tobago-Crown.Point.Intl.AP</t>
  </si>
  <si>
    <t>Custom-789620</t>
  </si>
  <si>
    <t>TP</t>
  </si>
  <si>
    <t>Piarco.Intl.AP</t>
  </si>
  <si>
    <t>Custom-789700</t>
  </si>
  <si>
    <t>VCT</t>
  </si>
  <si>
    <t>Mitchell.AP-Bequia.AP</t>
  </si>
  <si>
    <t>Canouan.Island</t>
  </si>
  <si>
    <t>Mustique.Island</t>
  </si>
  <si>
    <t>Kingstown-Argyle.Intl.AP</t>
  </si>
  <si>
    <t>Custom-789510</t>
  </si>
  <si>
    <t>VGB</t>
  </si>
  <si>
    <t>VI</t>
  </si>
  <si>
    <t>Lettsome.Intl.AP</t>
  </si>
  <si>
    <t>Custom-785500</t>
  </si>
  <si>
    <t>VIR</t>
  </si>
  <si>
    <t>St.Thomas-Charlotte.Amalie-King.Intl.AP</t>
  </si>
  <si>
    <t>Custom-785430</t>
  </si>
  <si>
    <t>St.Croix-Christiansted-Rohlsen.AP</t>
  </si>
  <si>
    <t>Custom-785510</t>
  </si>
  <si>
    <t>St.Thomas-Charlotte.Amalie</t>
  </si>
  <si>
    <t>Custom-994042</t>
  </si>
  <si>
    <t>St.John-Lameshur.Bay</t>
  </si>
  <si>
    <t>Custom-997172</t>
  </si>
  <si>
    <t>St.Croix-Lime.Tree.Bay</t>
  </si>
  <si>
    <t>Custom-997349</t>
  </si>
  <si>
    <t>St.Croix-Christiansted.Harbor</t>
  </si>
  <si>
    <t>Custom-998229</t>
  </si>
  <si>
    <t>Latitude (N+/S-)</t>
  </si>
  <si>
    <t>Longitude (E+/W-)</t>
  </si>
  <si>
    <t>Time Zone (GMT +/-)</t>
  </si>
  <si>
    <t>Elevation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</si>
</sst>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D87D-D575-4FEE-A830-C0724EA482CF}">
  <dimension ref="A1:J153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55.85546875" bestFit="1" customWidth="1"/>
    <col min="4" max="4" width="7" bestFit="1" customWidth="1"/>
    <col min="5" max="5" width="14.5703125" bestFit="1" customWidth="1"/>
    <col min="7" max="7" width="9.71093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904</v>
      </c>
      <c r="G1" s="1" t="s">
        <v>905</v>
      </c>
      <c r="H1" s="1" t="s">
        <v>906</v>
      </c>
      <c r="I1" s="1" t="s">
        <v>907</v>
      </c>
      <c r="J1" t="s">
        <v>5</v>
      </c>
    </row>
    <row r="2" spans="1:10" x14ac:dyDescent="0.25">
      <c r="A2" t="s">
        <v>6</v>
      </c>
      <c r="B2" t="s">
        <v>7</v>
      </c>
      <c r="C2" t="s">
        <v>8</v>
      </c>
      <c r="D2">
        <v>789820</v>
      </c>
      <c r="E2" t="s">
        <v>9</v>
      </c>
      <c r="F2">
        <v>12.500999999999999</v>
      </c>
      <c r="G2">
        <v>-70.015000000000001</v>
      </c>
      <c r="H2">
        <v>-4</v>
      </c>
      <c r="I2">
        <v>18.3</v>
      </c>
      <c r="J2" t="str">
        <f>HYPERLINK("https://climate.onebuilding.org/WMO_Region_4_North_and_Central_America/ABW_Aruba/ABW_AA_Queen.Beatrix.Intl.AP.789820_TMYx.2004-2018.zip")</f>
        <v>https://climate.onebuilding.org/WMO_Region_4_North_and_Central_America/ABW_Aruba/ABW_AA_Queen.Beatrix.Intl.AP.789820_TMYx.2004-2018.zip</v>
      </c>
    </row>
    <row r="3" spans="1:10" x14ac:dyDescent="0.25">
      <c r="A3" t="s">
        <v>6</v>
      </c>
      <c r="B3" t="s">
        <v>7</v>
      </c>
      <c r="C3" t="s">
        <v>8</v>
      </c>
      <c r="D3">
        <v>789820</v>
      </c>
      <c r="E3" t="s">
        <v>10</v>
      </c>
      <c r="F3">
        <v>12.500999999999999</v>
      </c>
      <c r="G3">
        <v>-70.015000000000001</v>
      </c>
      <c r="H3">
        <v>-4</v>
      </c>
      <c r="I3">
        <v>18.3</v>
      </c>
      <c r="J3" t="str">
        <f>HYPERLINK("https://climate.onebuilding.org/WMO_Region_4_North_and_Central_America/ABW_Aruba/ABW_AA_Queen.Beatrix.Intl.AP.789820_TMYx.2007-2021.zip")</f>
        <v>https://climate.onebuilding.org/WMO_Region_4_North_and_Central_America/ABW_Aruba/ABW_AA_Queen.Beatrix.Intl.AP.789820_TMYx.2007-2021.zip</v>
      </c>
    </row>
    <row r="4" spans="1:10" x14ac:dyDescent="0.25">
      <c r="A4" t="s">
        <v>6</v>
      </c>
      <c r="B4" t="s">
        <v>7</v>
      </c>
      <c r="C4" t="s">
        <v>8</v>
      </c>
      <c r="D4">
        <v>789820</v>
      </c>
      <c r="E4" t="s">
        <v>10</v>
      </c>
      <c r="F4">
        <v>12.500999999999999</v>
      </c>
      <c r="G4">
        <v>-70.015000000000001</v>
      </c>
      <c r="H4">
        <v>-4</v>
      </c>
      <c r="I4">
        <v>18.3</v>
      </c>
      <c r="J4" t="str">
        <f>HYPERLINK("https://climate.onebuilding.org/WMO_Region_4_North_and_Central_America/ABW_Aruba/ABW_AA_Queen.Beatrix.Intl.AP.789820_TMYx.2009-2023.zip")</f>
        <v>https://climate.onebuilding.org/WMO_Region_4_North_and_Central_America/ABW_Aruba/ABW_AA_Queen.Beatrix.Intl.AP.789820_TMYx.2009-2023.zip</v>
      </c>
    </row>
    <row r="5" spans="1:10" x14ac:dyDescent="0.25">
      <c r="A5" t="s">
        <v>6</v>
      </c>
      <c r="B5" t="s">
        <v>7</v>
      </c>
      <c r="C5" t="s">
        <v>8</v>
      </c>
      <c r="D5">
        <v>789820</v>
      </c>
      <c r="E5" t="s">
        <v>10</v>
      </c>
      <c r="F5">
        <v>12.500999999999999</v>
      </c>
      <c r="G5">
        <v>-70.015000000000001</v>
      </c>
      <c r="H5">
        <v>-4</v>
      </c>
      <c r="I5">
        <v>18.3</v>
      </c>
      <c r="J5" t="str">
        <f>HYPERLINK("https://climate.onebuilding.org/WMO_Region_4_North_and_Central_America/ABW_Aruba/ABW_AA_Queen.Beatrix.Intl.AP.789820_TMYx.zip")</f>
        <v>https://climate.onebuilding.org/WMO_Region_4_North_and_Central_America/ABW_Aruba/ABW_AA_Queen.Beatrix.Intl.AP.789820_TMYx.zip</v>
      </c>
    </row>
    <row r="6" spans="1:10" x14ac:dyDescent="0.25">
      <c r="A6" t="s">
        <v>11</v>
      </c>
      <c r="B6" t="s">
        <v>12</v>
      </c>
      <c r="C6" t="s">
        <v>13</v>
      </c>
      <c r="D6">
        <v>788460</v>
      </c>
      <c r="E6" t="s">
        <v>14</v>
      </c>
      <c r="F6">
        <v>18.2</v>
      </c>
      <c r="G6">
        <v>-63.05</v>
      </c>
      <c r="H6">
        <v>-4</v>
      </c>
      <c r="I6">
        <v>29</v>
      </c>
      <c r="J6" t="str">
        <f>HYPERLINK("https://climate.onebuilding.org/WMO_Region_4_North_and_Central_America/AIA_Anguilla/AIA_TV_Anguilla-Lloyd.Intl.AP.788460_TMYx.2004-2018.zip")</f>
        <v>https://climate.onebuilding.org/WMO_Region_4_North_and_Central_America/AIA_Anguilla/AIA_TV_Anguilla-Lloyd.Intl.AP.788460_TMYx.2004-2018.zip</v>
      </c>
    </row>
    <row r="7" spans="1:10" x14ac:dyDescent="0.25">
      <c r="A7" t="s">
        <v>11</v>
      </c>
      <c r="B7" t="s">
        <v>12</v>
      </c>
      <c r="C7" t="s">
        <v>13</v>
      </c>
      <c r="D7">
        <v>788460</v>
      </c>
      <c r="E7" t="s">
        <v>10</v>
      </c>
      <c r="F7">
        <v>18.2</v>
      </c>
      <c r="G7">
        <v>-63.05</v>
      </c>
      <c r="H7">
        <v>-4</v>
      </c>
      <c r="I7">
        <v>29</v>
      </c>
      <c r="J7" t="str">
        <f>HYPERLINK("https://climate.onebuilding.org/WMO_Region_4_North_and_Central_America/AIA_Anguilla/AIA_TV_Anguilla-Lloyd.Intl.AP.788460_TMYx.2007-2021.zip")</f>
        <v>https://climate.onebuilding.org/WMO_Region_4_North_and_Central_America/AIA_Anguilla/AIA_TV_Anguilla-Lloyd.Intl.AP.788460_TMYx.2007-2021.zip</v>
      </c>
    </row>
    <row r="8" spans="1:10" x14ac:dyDescent="0.25">
      <c r="A8" t="s">
        <v>11</v>
      </c>
      <c r="B8" t="s">
        <v>12</v>
      </c>
      <c r="C8" t="s">
        <v>13</v>
      </c>
      <c r="D8">
        <v>788460</v>
      </c>
      <c r="E8" t="s">
        <v>10</v>
      </c>
      <c r="F8">
        <v>18.2</v>
      </c>
      <c r="G8">
        <v>-63.05</v>
      </c>
      <c r="H8">
        <v>-4</v>
      </c>
      <c r="I8">
        <v>29</v>
      </c>
      <c r="J8" t="str">
        <f>HYPERLINK("https://climate.onebuilding.org/WMO_Region_4_North_and_Central_America/AIA_Anguilla/AIA_TV_Anguilla-Lloyd.Intl.AP.788460_TMYx.2009-2023.zip")</f>
        <v>https://climate.onebuilding.org/WMO_Region_4_North_and_Central_America/AIA_Anguilla/AIA_TV_Anguilla-Lloyd.Intl.AP.788460_TMYx.2009-2023.zip</v>
      </c>
    </row>
    <row r="9" spans="1:10" x14ac:dyDescent="0.25">
      <c r="A9" t="s">
        <v>11</v>
      </c>
      <c r="B9" t="s">
        <v>12</v>
      </c>
      <c r="C9" t="s">
        <v>13</v>
      </c>
      <c r="D9">
        <v>788460</v>
      </c>
      <c r="E9" t="s">
        <v>10</v>
      </c>
      <c r="F9">
        <v>18.2</v>
      </c>
      <c r="G9">
        <v>-63.05</v>
      </c>
      <c r="H9">
        <v>-4</v>
      </c>
      <c r="I9">
        <v>29</v>
      </c>
      <c r="J9" t="str">
        <f>HYPERLINK("https://climate.onebuilding.org/WMO_Region_4_North_and_Central_America/AIA_Anguilla/AIA_TV_Anguilla-Lloyd.Intl.AP.788460_TMYx.zip")</f>
        <v>https://climate.onebuilding.org/WMO_Region_4_North_and_Central_America/AIA_Anguilla/AIA_TV_Anguilla-Lloyd.Intl.AP.788460_TMYx.zip</v>
      </c>
    </row>
    <row r="10" spans="1:10" x14ac:dyDescent="0.25">
      <c r="A10" t="s">
        <v>15</v>
      </c>
      <c r="B10" t="s">
        <v>16</v>
      </c>
      <c r="C10" t="s">
        <v>17</v>
      </c>
      <c r="D10">
        <v>788610</v>
      </c>
      <c r="E10" t="s">
        <v>18</v>
      </c>
      <c r="F10">
        <v>17.117000000000001</v>
      </c>
      <c r="G10">
        <v>-61.783000000000001</v>
      </c>
      <c r="H10">
        <v>-4</v>
      </c>
      <c r="I10">
        <v>10</v>
      </c>
      <c r="J10" t="str">
        <f>HYPERLINK("https://climate.onebuilding.org/WMO_Region_4_North_and_Central_America/ATG_Antigua_and_Barbuda/ATG_JO_Coolidge.Field-Antigua.Aux.AFB.788610_TMYx.2007-2021.zip")</f>
        <v>https://climate.onebuilding.org/WMO_Region_4_North_and_Central_America/ATG_Antigua_and_Barbuda/ATG_JO_Coolidge.Field-Antigua.Aux.AFB.788610_TMYx.2007-2021.zip</v>
      </c>
    </row>
    <row r="11" spans="1:10" x14ac:dyDescent="0.25">
      <c r="A11" t="s">
        <v>15</v>
      </c>
      <c r="B11" t="s">
        <v>16</v>
      </c>
      <c r="C11" t="s">
        <v>17</v>
      </c>
      <c r="D11">
        <v>788610</v>
      </c>
      <c r="E11" t="s">
        <v>18</v>
      </c>
      <c r="F11">
        <v>17.117000000000001</v>
      </c>
      <c r="G11">
        <v>-61.783000000000001</v>
      </c>
      <c r="H11">
        <v>-4</v>
      </c>
      <c r="I11">
        <v>10</v>
      </c>
      <c r="J11" t="str">
        <f>HYPERLINK("https://climate.onebuilding.org/WMO_Region_4_North_and_Central_America/ATG_Antigua_and_Barbuda/ATG_JO_Coolidge.Field-Antigua.Aux.AFB.788610_TMYx.2009-2023.zip")</f>
        <v>https://climate.onebuilding.org/WMO_Region_4_North_and_Central_America/ATG_Antigua_and_Barbuda/ATG_JO_Coolidge.Field-Antigua.Aux.AFB.788610_TMYx.2009-2023.zip</v>
      </c>
    </row>
    <row r="12" spans="1:10" x14ac:dyDescent="0.25">
      <c r="A12" t="s">
        <v>15</v>
      </c>
      <c r="B12" t="s">
        <v>16</v>
      </c>
      <c r="C12" t="s">
        <v>17</v>
      </c>
      <c r="D12">
        <v>788610</v>
      </c>
      <c r="E12" t="s">
        <v>18</v>
      </c>
      <c r="F12">
        <v>17.117000000000001</v>
      </c>
      <c r="G12">
        <v>-61.783000000000001</v>
      </c>
      <c r="H12">
        <v>-4</v>
      </c>
      <c r="I12">
        <v>10</v>
      </c>
      <c r="J12" t="str">
        <f>HYPERLINK("https://climate.onebuilding.org/WMO_Region_4_North_and_Central_America/ATG_Antigua_and_Barbuda/ATG_JO_Coolidge.Field-Antigua.Aux.AFB.788610_TMYx.zip")</f>
        <v>https://climate.onebuilding.org/WMO_Region_4_North_and_Central_America/ATG_Antigua_and_Barbuda/ATG_JO_Coolidge.Field-Antigua.Aux.AFB.788610_TMYx.zip</v>
      </c>
    </row>
    <row r="13" spans="1:10" x14ac:dyDescent="0.25">
      <c r="A13" t="s">
        <v>15</v>
      </c>
      <c r="B13" t="s">
        <v>16</v>
      </c>
      <c r="C13" t="s">
        <v>19</v>
      </c>
      <c r="D13">
        <v>788620</v>
      </c>
      <c r="E13" t="s">
        <v>20</v>
      </c>
      <c r="F13">
        <v>17.137</v>
      </c>
      <c r="G13">
        <v>-61.792999999999999</v>
      </c>
      <c r="H13">
        <v>-4</v>
      </c>
      <c r="I13">
        <v>18.899999999999999</v>
      </c>
      <c r="J13" t="str">
        <f>HYPERLINK("https://climate.onebuilding.org/WMO_Region_4_North_and_Central_America/ATG_Antigua_and_Barbuda/ATG_JO_Bird.Intl.AP.788620_TMYx.2004-2018.zip")</f>
        <v>https://climate.onebuilding.org/WMO_Region_4_North_and_Central_America/ATG_Antigua_and_Barbuda/ATG_JO_Bird.Intl.AP.788620_TMYx.2004-2018.zip</v>
      </c>
    </row>
    <row r="14" spans="1:10" x14ac:dyDescent="0.25">
      <c r="A14" t="s">
        <v>15</v>
      </c>
      <c r="B14" t="s">
        <v>16</v>
      </c>
      <c r="C14" t="s">
        <v>19</v>
      </c>
      <c r="D14">
        <v>788620</v>
      </c>
      <c r="E14" t="s">
        <v>10</v>
      </c>
      <c r="F14">
        <v>17.137</v>
      </c>
      <c r="G14">
        <v>-61.792999999999999</v>
      </c>
      <c r="H14">
        <v>-4</v>
      </c>
      <c r="I14">
        <v>18.899999999999999</v>
      </c>
      <c r="J14" t="str">
        <f>HYPERLINK("https://climate.onebuilding.org/WMO_Region_4_North_and_Central_America/ATG_Antigua_and_Barbuda/ATG_JO_Bird.Intl.AP.788620_TMYx.2007-2021.zip")</f>
        <v>https://climate.onebuilding.org/WMO_Region_4_North_and_Central_America/ATG_Antigua_and_Barbuda/ATG_JO_Bird.Intl.AP.788620_TMYx.2007-2021.zip</v>
      </c>
    </row>
    <row r="15" spans="1:10" x14ac:dyDescent="0.25">
      <c r="A15" t="s">
        <v>15</v>
      </c>
      <c r="B15" t="s">
        <v>16</v>
      </c>
      <c r="C15" t="s">
        <v>19</v>
      </c>
      <c r="D15">
        <v>788620</v>
      </c>
      <c r="E15" t="s">
        <v>10</v>
      </c>
      <c r="F15">
        <v>17.137</v>
      </c>
      <c r="G15">
        <v>-61.792999999999999</v>
      </c>
      <c r="H15">
        <v>-4</v>
      </c>
      <c r="I15">
        <v>18.899999999999999</v>
      </c>
      <c r="J15" t="str">
        <f>HYPERLINK("https://climate.onebuilding.org/WMO_Region_4_North_and_Central_America/ATG_Antigua_and_Barbuda/ATG_JO_Bird.Intl.AP.788620_TMYx.2009-2023.zip")</f>
        <v>https://climate.onebuilding.org/WMO_Region_4_North_and_Central_America/ATG_Antigua_and_Barbuda/ATG_JO_Bird.Intl.AP.788620_TMYx.2009-2023.zip</v>
      </c>
    </row>
    <row r="16" spans="1:10" x14ac:dyDescent="0.25">
      <c r="A16" t="s">
        <v>15</v>
      </c>
      <c r="B16" t="s">
        <v>16</v>
      </c>
      <c r="C16" t="s">
        <v>19</v>
      </c>
      <c r="D16">
        <v>788620</v>
      </c>
      <c r="E16" t="s">
        <v>10</v>
      </c>
      <c r="F16">
        <v>17.137</v>
      </c>
      <c r="G16">
        <v>-61.792999999999999</v>
      </c>
      <c r="H16">
        <v>-4</v>
      </c>
      <c r="I16">
        <v>18.899999999999999</v>
      </c>
      <c r="J16" t="str">
        <f>HYPERLINK("https://climate.onebuilding.org/WMO_Region_4_North_and_Central_America/ATG_Antigua_and_Barbuda/ATG_JO_Bird.Intl.AP.788620_TMYx.zip")</f>
        <v>https://climate.onebuilding.org/WMO_Region_4_North_and_Central_America/ATG_Antigua_and_Barbuda/ATG_JO_Bird.Intl.AP.788620_TMYx.zip</v>
      </c>
    </row>
    <row r="17" spans="1:10" x14ac:dyDescent="0.25">
      <c r="A17" t="s">
        <v>15</v>
      </c>
      <c r="B17" t="s">
        <v>16</v>
      </c>
      <c r="C17" t="s">
        <v>21</v>
      </c>
      <c r="D17">
        <v>788629</v>
      </c>
      <c r="E17" t="s">
        <v>18</v>
      </c>
      <c r="F17">
        <v>17.132999999999999</v>
      </c>
      <c r="G17">
        <v>-61.783000000000001</v>
      </c>
      <c r="H17">
        <v>-4</v>
      </c>
      <c r="I17">
        <v>18.899999999999999</v>
      </c>
      <c r="J17" t="str">
        <f>HYPERLINK("https://climate.onebuilding.org/WMO_Region_4_North_and_Central_America/ATG_Antigua_and_Barbuda/ATG_JO_St.Johns.788629_TMYx.2007-2021.zip")</f>
        <v>https://climate.onebuilding.org/WMO_Region_4_North_and_Central_America/ATG_Antigua_and_Barbuda/ATG_JO_St.Johns.788629_TMYx.2007-2021.zip</v>
      </c>
    </row>
    <row r="18" spans="1:10" x14ac:dyDescent="0.25">
      <c r="A18" t="s">
        <v>15</v>
      </c>
      <c r="B18" t="s">
        <v>16</v>
      </c>
      <c r="C18" t="s">
        <v>21</v>
      </c>
      <c r="D18">
        <v>788629</v>
      </c>
      <c r="E18" t="s">
        <v>18</v>
      </c>
      <c r="F18">
        <v>17.132999999999999</v>
      </c>
      <c r="G18">
        <v>-61.783000000000001</v>
      </c>
      <c r="H18">
        <v>-4</v>
      </c>
      <c r="I18">
        <v>18.899999999999999</v>
      </c>
      <c r="J18" t="str">
        <f>HYPERLINK("https://climate.onebuilding.org/WMO_Region_4_North_and_Central_America/ATG_Antigua_and_Barbuda/ATG_JO_St.Johns.788629_TMYx.2009-2023.zip")</f>
        <v>https://climate.onebuilding.org/WMO_Region_4_North_and_Central_America/ATG_Antigua_and_Barbuda/ATG_JO_St.Johns.788629_TMYx.2009-2023.zip</v>
      </c>
    </row>
    <row r="19" spans="1:10" x14ac:dyDescent="0.25">
      <c r="A19" t="s">
        <v>15</v>
      </c>
      <c r="B19" t="s">
        <v>16</v>
      </c>
      <c r="C19" t="s">
        <v>21</v>
      </c>
      <c r="D19">
        <v>788629</v>
      </c>
      <c r="E19" t="s">
        <v>18</v>
      </c>
      <c r="F19">
        <v>17.132999999999999</v>
      </c>
      <c r="G19">
        <v>-61.783000000000001</v>
      </c>
      <c r="H19">
        <v>-4</v>
      </c>
      <c r="I19">
        <v>18.899999999999999</v>
      </c>
      <c r="J19" t="str">
        <f>HYPERLINK("https://climate.onebuilding.org/WMO_Region_4_North_and_Central_America/ATG_Antigua_and_Barbuda/ATG_JO_St.Johns.788629_TMYx.zip")</f>
        <v>https://climate.onebuilding.org/WMO_Region_4_North_and_Central_America/ATG_Antigua_and_Barbuda/ATG_JO_St.Johns.788629_TMYx.zip</v>
      </c>
    </row>
    <row r="20" spans="1:10" x14ac:dyDescent="0.25">
      <c r="A20" t="s">
        <v>15</v>
      </c>
      <c r="B20" t="s">
        <v>22</v>
      </c>
      <c r="C20" t="s">
        <v>23</v>
      </c>
      <c r="D20">
        <v>998441</v>
      </c>
      <c r="E20" t="s">
        <v>24</v>
      </c>
      <c r="F20">
        <v>17.591000000000001</v>
      </c>
      <c r="G20">
        <v>-61.820999999999998</v>
      </c>
      <c r="H20">
        <v>-4</v>
      </c>
      <c r="I20">
        <v>5</v>
      </c>
      <c r="J20" t="str">
        <f>HYPERLINK("https://climate.onebuilding.org/WMO_Region_4_North_and_Central_America/ATG_Antigua_and_Barbuda/ATG_BB_Barbuda.998441_TMYx.2004-2018.zip")</f>
        <v>https://climate.onebuilding.org/WMO_Region_4_North_and_Central_America/ATG_Antigua_and_Barbuda/ATG_BB_Barbuda.998441_TMYx.2004-2018.zip</v>
      </c>
    </row>
    <row r="21" spans="1:10" x14ac:dyDescent="0.25">
      <c r="A21" t="s">
        <v>15</v>
      </c>
      <c r="B21" t="s">
        <v>22</v>
      </c>
      <c r="C21" t="s">
        <v>23</v>
      </c>
      <c r="D21">
        <v>998441</v>
      </c>
      <c r="E21" t="s">
        <v>10</v>
      </c>
      <c r="F21">
        <v>17.591000000000001</v>
      </c>
      <c r="G21">
        <v>-61.820999999999998</v>
      </c>
      <c r="H21">
        <v>-4</v>
      </c>
      <c r="I21">
        <v>5</v>
      </c>
      <c r="J21" t="str">
        <f>HYPERLINK("https://climate.onebuilding.org/WMO_Region_4_North_and_Central_America/ATG_Antigua_and_Barbuda/ATG_BB_Barbuda.998441_TMYx.2007-2021.zip")</f>
        <v>https://climate.onebuilding.org/WMO_Region_4_North_and_Central_America/ATG_Antigua_and_Barbuda/ATG_BB_Barbuda.998441_TMYx.2007-2021.zip</v>
      </c>
    </row>
    <row r="22" spans="1:10" x14ac:dyDescent="0.25">
      <c r="A22" t="s">
        <v>15</v>
      </c>
      <c r="B22" t="s">
        <v>22</v>
      </c>
      <c r="C22" t="s">
        <v>23</v>
      </c>
      <c r="D22">
        <v>998441</v>
      </c>
      <c r="E22" t="s">
        <v>10</v>
      </c>
      <c r="F22">
        <v>17.591000000000001</v>
      </c>
      <c r="G22">
        <v>-61.820999999999998</v>
      </c>
      <c r="H22">
        <v>-4</v>
      </c>
      <c r="I22">
        <v>5</v>
      </c>
      <c r="J22" t="str">
        <f>HYPERLINK("https://climate.onebuilding.org/WMO_Region_4_North_and_Central_America/ATG_Antigua_and_Barbuda/ATG_BB_Barbuda.998441_TMYx.2009-2023.zip")</f>
        <v>https://climate.onebuilding.org/WMO_Region_4_North_and_Central_America/ATG_Antigua_and_Barbuda/ATG_BB_Barbuda.998441_TMYx.2009-2023.zip</v>
      </c>
    </row>
    <row r="23" spans="1:10" x14ac:dyDescent="0.25">
      <c r="A23" t="s">
        <v>15</v>
      </c>
      <c r="B23" t="s">
        <v>22</v>
      </c>
      <c r="C23" t="s">
        <v>23</v>
      </c>
      <c r="D23">
        <v>998441</v>
      </c>
      <c r="E23" t="s">
        <v>10</v>
      </c>
      <c r="F23">
        <v>17.591000000000001</v>
      </c>
      <c r="G23">
        <v>-61.820999999999998</v>
      </c>
      <c r="H23">
        <v>-4</v>
      </c>
      <c r="I23">
        <v>5</v>
      </c>
      <c r="J23" t="str">
        <f>HYPERLINK("https://climate.onebuilding.org/WMO_Region_4_North_and_Central_America/ATG_Antigua_and_Barbuda/ATG_BB_Barbuda.998441_TMYx.zip")</f>
        <v>https://climate.onebuilding.org/WMO_Region_4_North_and_Central_America/ATG_Antigua_and_Barbuda/ATG_BB_Barbuda.998441_TMYx.zip</v>
      </c>
    </row>
    <row r="24" spans="1:10" x14ac:dyDescent="0.25">
      <c r="A24" t="s">
        <v>25</v>
      </c>
      <c r="B24" t="s">
        <v>26</v>
      </c>
      <c r="C24" t="s">
        <v>27</v>
      </c>
      <c r="D24">
        <v>788730</v>
      </c>
      <c r="E24" t="s">
        <v>28</v>
      </c>
      <c r="F24">
        <v>17.495999999999999</v>
      </c>
      <c r="G24">
        <v>-62.978999999999999</v>
      </c>
      <c r="H24">
        <v>-4</v>
      </c>
      <c r="I24">
        <v>39.299999999999997</v>
      </c>
      <c r="J24" t="str">
        <f>HYPERLINK("https://climate.onebuilding.org/WMO_Region_4_North_and_Central_America/BES_Bonaire_Saba_Eustasius/BES_SE_St.Eustatius-Roosevelt.AP.788730_TMYx.2004-2018.zip")</f>
        <v>https://climate.onebuilding.org/WMO_Region_4_North_and_Central_America/BES_Bonaire_Saba_Eustasius/BES_SE_St.Eustatius-Roosevelt.AP.788730_TMYx.2004-2018.zip</v>
      </c>
    </row>
    <row r="25" spans="1:10" x14ac:dyDescent="0.25">
      <c r="A25" t="s">
        <v>25</v>
      </c>
      <c r="B25" t="s">
        <v>26</v>
      </c>
      <c r="C25" t="s">
        <v>27</v>
      </c>
      <c r="D25">
        <v>788730</v>
      </c>
      <c r="E25" t="s">
        <v>10</v>
      </c>
      <c r="F25">
        <v>17.495999999999999</v>
      </c>
      <c r="G25">
        <v>-62.978999999999999</v>
      </c>
      <c r="H25">
        <v>-4</v>
      </c>
      <c r="I25">
        <v>39.299999999999997</v>
      </c>
      <c r="J25" t="str">
        <f>HYPERLINK("https://climate.onebuilding.org/WMO_Region_4_North_and_Central_America/BES_Bonaire_Saba_Eustasius/BES_SE_St.Eustatius-Roosevelt.AP.788730_TMYx.2007-2021.zip")</f>
        <v>https://climate.onebuilding.org/WMO_Region_4_North_and_Central_America/BES_Bonaire_Saba_Eustasius/BES_SE_St.Eustatius-Roosevelt.AP.788730_TMYx.2007-2021.zip</v>
      </c>
    </row>
    <row r="26" spans="1:10" x14ac:dyDescent="0.25">
      <c r="A26" t="s">
        <v>25</v>
      </c>
      <c r="B26" t="s">
        <v>26</v>
      </c>
      <c r="C26" t="s">
        <v>27</v>
      </c>
      <c r="D26">
        <v>788730</v>
      </c>
      <c r="E26" t="s">
        <v>10</v>
      </c>
      <c r="F26">
        <v>17.495999999999999</v>
      </c>
      <c r="G26">
        <v>-62.978999999999999</v>
      </c>
      <c r="H26">
        <v>-4</v>
      </c>
      <c r="I26">
        <v>39.299999999999997</v>
      </c>
      <c r="J26" t="str">
        <f>HYPERLINK("https://climate.onebuilding.org/WMO_Region_4_North_and_Central_America/BES_Bonaire_Saba_Eustasius/BES_SE_St.Eustatius-Roosevelt.AP.788730_TMYx.2009-2023.zip")</f>
        <v>https://climate.onebuilding.org/WMO_Region_4_North_and_Central_America/BES_Bonaire_Saba_Eustasius/BES_SE_St.Eustatius-Roosevelt.AP.788730_TMYx.2009-2023.zip</v>
      </c>
    </row>
    <row r="27" spans="1:10" x14ac:dyDescent="0.25">
      <c r="A27" t="s">
        <v>25</v>
      </c>
      <c r="B27" t="s">
        <v>26</v>
      </c>
      <c r="C27" t="s">
        <v>27</v>
      </c>
      <c r="D27">
        <v>788730</v>
      </c>
      <c r="E27" t="s">
        <v>10</v>
      </c>
      <c r="F27">
        <v>17.495999999999999</v>
      </c>
      <c r="G27">
        <v>-62.978999999999999</v>
      </c>
      <c r="H27">
        <v>-4</v>
      </c>
      <c r="I27">
        <v>39.299999999999997</v>
      </c>
      <c r="J27" t="str">
        <f>HYPERLINK("https://climate.onebuilding.org/WMO_Region_4_North_and_Central_America/BES_Bonaire_Saba_Eustasius/BES_SE_St.Eustatius-Roosevelt.AP.788730_TMYx.zip")</f>
        <v>https://climate.onebuilding.org/WMO_Region_4_North_and_Central_America/BES_Bonaire_Saba_Eustasius/BES_SE_St.Eustatius-Roosevelt.AP.788730_TMYx.zip</v>
      </c>
    </row>
    <row r="28" spans="1:10" x14ac:dyDescent="0.25">
      <c r="A28" t="s">
        <v>25</v>
      </c>
      <c r="B28" t="s">
        <v>29</v>
      </c>
      <c r="C28" t="s">
        <v>30</v>
      </c>
      <c r="D28">
        <v>789900</v>
      </c>
      <c r="E28" t="s">
        <v>31</v>
      </c>
      <c r="F28">
        <v>12.131</v>
      </c>
      <c r="G28">
        <v>-68.269000000000005</v>
      </c>
      <c r="H28">
        <v>-4</v>
      </c>
      <c r="I28">
        <v>6.1</v>
      </c>
      <c r="J28" t="str">
        <f>HYPERLINK("https://climate.onebuilding.org/WMO_Region_4_North_and_Central_America/BES_Bonaire_Saba_Eustasius/BES_BO_Bonaire-Flamingo.Intl.AP.789900_TMYx.2004-2018.zip")</f>
        <v>https://climate.onebuilding.org/WMO_Region_4_North_and_Central_America/BES_Bonaire_Saba_Eustasius/BES_BO_Bonaire-Flamingo.Intl.AP.789900_TMYx.2004-2018.zip</v>
      </c>
    </row>
    <row r="29" spans="1:10" x14ac:dyDescent="0.25">
      <c r="A29" t="s">
        <v>25</v>
      </c>
      <c r="B29" t="s">
        <v>29</v>
      </c>
      <c r="C29" t="s">
        <v>30</v>
      </c>
      <c r="D29">
        <v>789900</v>
      </c>
      <c r="E29" t="s">
        <v>10</v>
      </c>
      <c r="F29">
        <v>12.131</v>
      </c>
      <c r="G29">
        <v>-68.269000000000005</v>
      </c>
      <c r="H29">
        <v>-4</v>
      </c>
      <c r="I29">
        <v>6.1</v>
      </c>
      <c r="J29" t="str">
        <f>HYPERLINK("https://climate.onebuilding.org/WMO_Region_4_North_and_Central_America/BES_Bonaire_Saba_Eustasius/BES_BO_Bonaire-Flamingo.Intl.AP.789900_TMYx.2007-2021.zip")</f>
        <v>https://climate.onebuilding.org/WMO_Region_4_North_and_Central_America/BES_Bonaire_Saba_Eustasius/BES_BO_Bonaire-Flamingo.Intl.AP.789900_TMYx.2007-2021.zip</v>
      </c>
    </row>
    <row r="30" spans="1:10" x14ac:dyDescent="0.25">
      <c r="A30" t="s">
        <v>25</v>
      </c>
      <c r="B30" t="s">
        <v>29</v>
      </c>
      <c r="C30" t="s">
        <v>30</v>
      </c>
      <c r="D30">
        <v>789900</v>
      </c>
      <c r="E30" t="s">
        <v>10</v>
      </c>
      <c r="F30">
        <v>12.131</v>
      </c>
      <c r="G30">
        <v>-68.269000000000005</v>
      </c>
      <c r="H30">
        <v>-4</v>
      </c>
      <c r="I30">
        <v>6.1</v>
      </c>
      <c r="J30" t="str">
        <f>HYPERLINK("https://climate.onebuilding.org/WMO_Region_4_North_and_Central_America/BES_Bonaire_Saba_Eustasius/BES_BO_Bonaire-Flamingo.Intl.AP.789900_TMYx.2009-2023.zip")</f>
        <v>https://climate.onebuilding.org/WMO_Region_4_North_and_Central_America/BES_Bonaire_Saba_Eustasius/BES_BO_Bonaire-Flamingo.Intl.AP.789900_TMYx.2009-2023.zip</v>
      </c>
    </row>
    <row r="31" spans="1:10" x14ac:dyDescent="0.25">
      <c r="A31" t="s">
        <v>25</v>
      </c>
      <c r="B31" t="s">
        <v>29</v>
      </c>
      <c r="C31" t="s">
        <v>30</v>
      </c>
      <c r="D31">
        <v>789900</v>
      </c>
      <c r="E31" t="s">
        <v>10</v>
      </c>
      <c r="F31">
        <v>12.131</v>
      </c>
      <c r="G31">
        <v>-68.269000000000005</v>
      </c>
      <c r="H31">
        <v>-4</v>
      </c>
      <c r="I31">
        <v>6.1</v>
      </c>
      <c r="J31" t="str">
        <f>HYPERLINK("https://climate.onebuilding.org/WMO_Region_4_North_and_Central_America/BES_Bonaire_Saba_Eustasius/BES_BO_Bonaire-Flamingo.Intl.AP.789900_TMYx.zip")</f>
        <v>https://climate.onebuilding.org/WMO_Region_4_North_and_Central_America/BES_Bonaire_Saba_Eustasius/BES_BO_Bonaire-Flamingo.Intl.AP.789900_TMYx.zip</v>
      </c>
    </row>
    <row r="32" spans="1:10" x14ac:dyDescent="0.25">
      <c r="A32" t="s">
        <v>32</v>
      </c>
      <c r="B32" t="s">
        <v>33</v>
      </c>
      <c r="C32" t="s">
        <v>34</v>
      </c>
      <c r="D32">
        <v>780610</v>
      </c>
      <c r="E32" t="s">
        <v>35</v>
      </c>
      <c r="F32">
        <v>26.7</v>
      </c>
      <c r="G32">
        <v>-78.966999999999999</v>
      </c>
      <c r="H32">
        <v>-5</v>
      </c>
      <c r="I32">
        <v>4</v>
      </c>
      <c r="J32" t="str">
        <f>HYPERLINK("https://climate.onebuilding.org/WMO_Region_4_North_and_Central_America/BHS_Bahamas/BHS_WB_West.End.Intl.AP.780610_TMYx.2004-2018.zip")</f>
        <v>https://climate.onebuilding.org/WMO_Region_4_North_and_Central_America/BHS_Bahamas/BHS_WB_West.End.Intl.AP.780610_TMYx.2004-2018.zip</v>
      </c>
    </row>
    <row r="33" spans="1:10" x14ac:dyDescent="0.25">
      <c r="A33" t="s">
        <v>32</v>
      </c>
      <c r="B33" t="s">
        <v>33</v>
      </c>
      <c r="C33" t="s">
        <v>34</v>
      </c>
      <c r="D33">
        <v>780610</v>
      </c>
      <c r="E33" t="s">
        <v>35</v>
      </c>
      <c r="F33">
        <v>26.7</v>
      </c>
      <c r="G33">
        <v>-78.966999999999999</v>
      </c>
      <c r="H33">
        <v>-5</v>
      </c>
      <c r="I33">
        <v>4</v>
      </c>
      <c r="J33" t="str">
        <f>HYPERLINK("https://climate.onebuilding.org/WMO_Region_4_North_and_Central_America/BHS_Bahamas/BHS_WB_West.End.Intl.AP.780610_TMYx.zip")</f>
        <v>https://climate.onebuilding.org/WMO_Region_4_North_and_Central_America/BHS_Bahamas/BHS_WB_West.End.Intl.AP.780610_TMYx.zip</v>
      </c>
    </row>
    <row r="34" spans="1:10" x14ac:dyDescent="0.25">
      <c r="A34" t="s">
        <v>32</v>
      </c>
      <c r="B34" t="s">
        <v>36</v>
      </c>
      <c r="C34" t="s">
        <v>37</v>
      </c>
      <c r="D34">
        <v>780620</v>
      </c>
      <c r="E34" t="s">
        <v>38</v>
      </c>
      <c r="F34">
        <v>26.559000000000001</v>
      </c>
      <c r="G34">
        <v>-78.695999999999998</v>
      </c>
      <c r="H34">
        <v>-5</v>
      </c>
      <c r="I34">
        <v>2.1</v>
      </c>
      <c r="J34" t="str">
        <f>HYPERLINK("https://climate.onebuilding.org/WMO_Region_4_North_and_Central_America/BHS_Bahamas/BHS_FP_Freeport-Grand.Bahama.Intl.AP.780620_TMYx.2004-2018.zip")</f>
        <v>https://climate.onebuilding.org/WMO_Region_4_North_and_Central_America/BHS_Bahamas/BHS_FP_Freeport-Grand.Bahama.Intl.AP.780620_TMYx.2004-2018.zip</v>
      </c>
    </row>
    <row r="35" spans="1:10" x14ac:dyDescent="0.25">
      <c r="A35" t="s">
        <v>32</v>
      </c>
      <c r="B35" t="s">
        <v>36</v>
      </c>
      <c r="C35" t="s">
        <v>37</v>
      </c>
      <c r="D35">
        <v>780620</v>
      </c>
      <c r="E35" t="s">
        <v>10</v>
      </c>
      <c r="F35">
        <v>26.559000000000001</v>
      </c>
      <c r="G35">
        <v>-78.695999999999998</v>
      </c>
      <c r="H35">
        <v>-5</v>
      </c>
      <c r="I35">
        <v>2.1</v>
      </c>
      <c r="J35" t="str">
        <f>HYPERLINK("https://climate.onebuilding.org/WMO_Region_4_North_and_Central_America/BHS_Bahamas/BHS_FP_Freeport-Grand.Bahama.Intl.AP.780620_TMYx.2007-2021.zip")</f>
        <v>https://climate.onebuilding.org/WMO_Region_4_North_and_Central_America/BHS_Bahamas/BHS_FP_Freeport-Grand.Bahama.Intl.AP.780620_TMYx.2007-2021.zip</v>
      </c>
    </row>
    <row r="36" spans="1:10" x14ac:dyDescent="0.25">
      <c r="A36" t="s">
        <v>32</v>
      </c>
      <c r="B36" t="s">
        <v>36</v>
      </c>
      <c r="C36" t="s">
        <v>37</v>
      </c>
      <c r="D36">
        <v>780620</v>
      </c>
      <c r="E36" t="s">
        <v>10</v>
      </c>
      <c r="F36">
        <v>26.559000000000001</v>
      </c>
      <c r="G36">
        <v>-78.695999999999998</v>
      </c>
      <c r="H36">
        <v>-5</v>
      </c>
      <c r="I36">
        <v>2.1</v>
      </c>
      <c r="J36" t="str">
        <f>HYPERLINK("https://climate.onebuilding.org/WMO_Region_4_North_and_Central_America/BHS_Bahamas/BHS_FP_Freeport-Grand.Bahama.Intl.AP.780620_TMYx.2009-2023.zip")</f>
        <v>https://climate.onebuilding.org/WMO_Region_4_North_and_Central_America/BHS_Bahamas/BHS_FP_Freeport-Grand.Bahama.Intl.AP.780620_TMYx.2009-2023.zip</v>
      </c>
    </row>
    <row r="37" spans="1:10" x14ac:dyDescent="0.25">
      <c r="A37" t="s">
        <v>32</v>
      </c>
      <c r="B37" t="s">
        <v>36</v>
      </c>
      <c r="C37" t="s">
        <v>37</v>
      </c>
      <c r="D37">
        <v>780620</v>
      </c>
      <c r="E37" t="s">
        <v>10</v>
      </c>
      <c r="F37">
        <v>26.559000000000001</v>
      </c>
      <c r="G37">
        <v>-78.695999999999998</v>
      </c>
      <c r="H37">
        <v>-5</v>
      </c>
      <c r="I37">
        <v>2.1</v>
      </c>
      <c r="J37" t="str">
        <f>HYPERLINK("https://climate.onebuilding.org/WMO_Region_4_North_and_Central_America/BHS_Bahamas/BHS_FP_Freeport-Grand.Bahama.Intl.AP.780620_TMYx.zip")</f>
        <v>https://climate.onebuilding.org/WMO_Region_4_North_and_Central_America/BHS_Bahamas/BHS_FP_Freeport-Grand.Bahama.Intl.AP.780620_TMYx.zip</v>
      </c>
    </row>
    <row r="38" spans="1:10" x14ac:dyDescent="0.25">
      <c r="A38" t="s">
        <v>32</v>
      </c>
      <c r="B38" t="s">
        <v>36</v>
      </c>
      <c r="C38" t="s">
        <v>39</v>
      </c>
      <c r="D38">
        <v>780630</v>
      </c>
      <c r="E38" t="s">
        <v>18</v>
      </c>
      <c r="F38">
        <v>26.667000000000002</v>
      </c>
      <c r="G38">
        <v>-78.332999999999998</v>
      </c>
      <c r="H38">
        <v>-5</v>
      </c>
      <c r="I38">
        <v>2</v>
      </c>
      <c r="J38" t="str">
        <f>HYPERLINK("https://climate.onebuilding.org/WMO_Region_4_North_and_Central_America/BHS_Bahamas/BHS_FP_Grand.Bahama.Island.780630_TMYx.2007-2021.zip")</f>
        <v>https://climate.onebuilding.org/WMO_Region_4_North_and_Central_America/BHS_Bahamas/BHS_FP_Grand.Bahama.Island.780630_TMYx.2007-2021.zip</v>
      </c>
    </row>
    <row r="39" spans="1:10" x14ac:dyDescent="0.25">
      <c r="A39" t="s">
        <v>32</v>
      </c>
      <c r="B39" t="s">
        <v>36</v>
      </c>
      <c r="C39" t="s">
        <v>39</v>
      </c>
      <c r="D39">
        <v>780630</v>
      </c>
      <c r="E39" t="s">
        <v>18</v>
      </c>
      <c r="F39">
        <v>26.667000000000002</v>
      </c>
      <c r="G39">
        <v>-78.332999999999998</v>
      </c>
      <c r="H39">
        <v>-5</v>
      </c>
      <c r="I39">
        <v>2</v>
      </c>
      <c r="J39" t="str">
        <f>HYPERLINK("https://climate.onebuilding.org/WMO_Region_4_North_and_Central_America/BHS_Bahamas/BHS_FP_Grand.Bahama.Island.780630_TMYx.2009-2023.zip")</f>
        <v>https://climate.onebuilding.org/WMO_Region_4_North_and_Central_America/BHS_Bahamas/BHS_FP_Grand.Bahama.Island.780630_TMYx.2009-2023.zip</v>
      </c>
    </row>
    <row r="40" spans="1:10" x14ac:dyDescent="0.25">
      <c r="A40" t="s">
        <v>32</v>
      </c>
      <c r="B40" t="s">
        <v>36</v>
      </c>
      <c r="C40" t="s">
        <v>39</v>
      </c>
      <c r="D40">
        <v>780630</v>
      </c>
      <c r="E40" t="s">
        <v>18</v>
      </c>
      <c r="F40">
        <v>26.667000000000002</v>
      </c>
      <c r="G40">
        <v>-78.332999999999998</v>
      </c>
      <c r="H40">
        <v>-5</v>
      </c>
      <c r="I40">
        <v>2</v>
      </c>
      <c r="J40" t="str">
        <f>HYPERLINK("https://climate.onebuilding.org/WMO_Region_4_North_and_Central_America/BHS_Bahamas/BHS_FP_Grand.Bahama.Island.780630_TMYx.zip")</f>
        <v>https://climate.onebuilding.org/WMO_Region_4_North_and_Central_America/BHS_Bahamas/BHS_FP_Grand.Bahama.Island.780630_TMYx.zip</v>
      </c>
    </row>
    <row r="41" spans="1:10" x14ac:dyDescent="0.25">
      <c r="A41" t="s">
        <v>32</v>
      </c>
      <c r="B41" t="s">
        <v>40</v>
      </c>
      <c r="C41" t="s">
        <v>41</v>
      </c>
      <c r="D41">
        <v>780660</v>
      </c>
      <c r="E41" t="s">
        <v>18</v>
      </c>
      <c r="F41">
        <v>26.768470000000001</v>
      </c>
      <c r="G41">
        <v>-77.32808</v>
      </c>
      <c r="H41">
        <v>-5</v>
      </c>
      <c r="I41">
        <v>15</v>
      </c>
      <c r="J41" t="str">
        <f>HYPERLINK("https://climate.onebuilding.org/WMO_Region_4_North_and_Central_America/BHS_Bahamas/BHS_GT_Green.Turtle.Cay.780660_TMYx.2007-2021.zip")</f>
        <v>https://climate.onebuilding.org/WMO_Region_4_North_and_Central_America/BHS_Bahamas/BHS_GT_Green.Turtle.Cay.780660_TMYx.2007-2021.zip</v>
      </c>
    </row>
    <row r="42" spans="1:10" x14ac:dyDescent="0.25">
      <c r="A42" t="s">
        <v>32</v>
      </c>
      <c r="B42" t="s">
        <v>40</v>
      </c>
      <c r="C42" t="s">
        <v>41</v>
      </c>
      <c r="D42">
        <v>780660</v>
      </c>
      <c r="E42" t="s">
        <v>18</v>
      </c>
      <c r="F42">
        <v>26.768470000000001</v>
      </c>
      <c r="G42">
        <v>-77.32808</v>
      </c>
      <c r="H42">
        <v>-5</v>
      </c>
      <c r="I42">
        <v>15</v>
      </c>
      <c r="J42" t="str">
        <f>HYPERLINK("https://climate.onebuilding.org/WMO_Region_4_North_and_Central_America/BHS_Bahamas/BHS_GT_Green.Turtle.Cay.780660_TMYx.2009-2023.zip")</f>
        <v>https://climate.onebuilding.org/WMO_Region_4_North_and_Central_America/BHS_Bahamas/BHS_GT_Green.Turtle.Cay.780660_TMYx.2009-2023.zip</v>
      </c>
    </row>
    <row r="43" spans="1:10" x14ac:dyDescent="0.25">
      <c r="A43" t="s">
        <v>32</v>
      </c>
      <c r="B43" t="s">
        <v>40</v>
      </c>
      <c r="C43" t="s">
        <v>41</v>
      </c>
      <c r="D43">
        <v>780660</v>
      </c>
      <c r="E43" t="s">
        <v>18</v>
      </c>
      <c r="F43">
        <v>26.768470000000001</v>
      </c>
      <c r="G43">
        <v>-77.32808</v>
      </c>
      <c r="H43">
        <v>-5</v>
      </c>
      <c r="I43">
        <v>15</v>
      </c>
      <c r="J43" t="str">
        <f>HYPERLINK("https://climate.onebuilding.org/WMO_Region_4_North_and_Central_America/BHS_Bahamas/BHS_GT_Green.Turtle.Cay.780660_TMYx.zip")</f>
        <v>https://climate.onebuilding.org/WMO_Region_4_North_and_Central_America/BHS_Bahamas/BHS_GT_Green.Turtle.Cay.780660_TMYx.zip</v>
      </c>
    </row>
    <row r="44" spans="1:10" x14ac:dyDescent="0.25">
      <c r="A44" t="s">
        <v>32</v>
      </c>
      <c r="B44" t="s">
        <v>42</v>
      </c>
      <c r="C44" t="s">
        <v>43</v>
      </c>
      <c r="D44">
        <v>780690</v>
      </c>
      <c r="E44" t="s">
        <v>18</v>
      </c>
      <c r="F44">
        <v>25.7</v>
      </c>
      <c r="G44">
        <v>-79.25</v>
      </c>
      <c r="H44">
        <v>-5</v>
      </c>
      <c r="I44">
        <v>3</v>
      </c>
      <c r="J44" t="str">
        <f>HYPERLINK("https://climate.onebuilding.org/WMO_Region_4_North_and_Central_America/BHS_Bahamas/BHS_BI_Bimini-South.Bimini.Island.780690_TMYx.2007-2021.zip")</f>
        <v>https://climate.onebuilding.org/WMO_Region_4_North_and_Central_America/BHS_Bahamas/BHS_BI_Bimini-South.Bimini.Island.780690_TMYx.2007-2021.zip</v>
      </c>
    </row>
    <row r="45" spans="1:10" x14ac:dyDescent="0.25">
      <c r="A45" t="s">
        <v>32</v>
      </c>
      <c r="B45" t="s">
        <v>42</v>
      </c>
      <c r="C45" t="s">
        <v>43</v>
      </c>
      <c r="D45">
        <v>780690</v>
      </c>
      <c r="E45" t="s">
        <v>18</v>
      </c>
      <c r="F45">
        <v>25.7</v>
      </c>
      <c r="G45">
        <v>-79.25</v>
      </c>
      <c r="H45">
        <v>-5</v>
      </c>
      <c r="I45">
        <v>3</v>
      </c>
      <c r="J45" t="str">
        <f>HYPERLINK("https://climate.onebuilding.org/WMO_Region_4_North_and_Central_America/BHS_Bahamas/BHS_BI_Bimini-South.Bimini.Island.780690_TMYx.2009-2023.zip")</f>
        <v>https://climate.onebuilding.org/WMO_Region_4_North_and_Central_America/BHS_Bahamas/BHS_BI_Bimini-South.Bimini.Island.780690_TMYx.2009-2023.zip</v>
      </c>
    </row>
    <row r="46" spans="1:10" x14ac:dyDescent="0.25">
      <c r="A46" t="s">
        <v>32</v>
      </c>
      <c r="B46" t="s">
        <v>42</v>
      </c>
      <c r="C46" t="s">
        <v>43</v>
      </c>
      <c r="D46">
        <v>780690</v>
      </c>
      <c r="E46" t="s">
        <v>18</v>
      </c>
      <c r="F46">
        <v>25.7</v>
      </c>
      <c r="G46">
        <v>-79.25</v>
      </c>
      <c r="H46">
        <v>-5</v>
      </c>
      <c r="I46">
        <v>3</v>
      </c>
      <c r="J46" t="str">
        <f>HYPERLINK("https://climate.onebuilding.org/WMO_Region_4_North_and_Central_America/BHS_Bahamas/BHS_BI_Bimini-South.Bimini.Island.780690_TMYx.zip")</f>
        <v>https://climate.onebuilding.org/WMO_Region_4_North_and_Central_America/BHS_Bahamas/BHS_BI_Bimini-South.Bimini.Island.780690_TMYx.zip</v>
      </c>
    </row>
    <row r="47" spans="1:10" x14ac:dyDescent="0.25">
      <c r="A47" t="s">
        <v>32</v>
      </c>
      <c r="B47" t="s">
        <v>42</v>
      </c>
      <c r="C47" t="s">
        <v>44</v>
      </c>
      <c r="D47">
        <v>780700</v>
      </c>
      <c r="E47" t="s">
        <v>18</v>
      </c>
      <c r="F47">
        <v>25.7</v>
      </c>
      <c r="G47">
        <v>-79.265000000000001</v>
      </c>
      <c r="H47">
        <v>-5</v>
      </c>
      <c r="I47">
        <v>3</v>
      </c>
      <c r="J47" t="str">
        <f>HYPERLINK("https://climate.onebuilding.org/WMO_Region_4_North_and_Central_America/BHS_Bahamas/BHS_BI_South.Bimini.Island.AP.780700_TMYx.2007-2021.zip")</f>
        <v>https://climate.onebuilding.org/WMO_Region_4_North_and_Central_America/BHS_Bahamas/BHS_BI_South.Bimini.Island.AP.780700_TMYx.2007-2021.zip</v>
      </c>
    </row>
    <row r="48" spans="1:10" x14ac:dyDescent="0.25">
      <c r="A48" t="s">
        <v>32</v>
      </c>
      <c r="B48" t="s">
        <v>42</v>
      </c>
      <c r="C48" t="s">
        <v>44</v>
      </c>
      <c r="D48">
        <v>780700</v>
      </c>
      <c r="E48" t="s">
        <v>18</v>
      </c>
      <c r="F48">
        <v>25.7</v>
      </c>
      <c r="G48">
        <v>-79.265000000000001</v>
      </c>
      <c r="H48">
        <v>-5</v>
      </c>
      <c r="I48">
        <v>3</v>
      </c>
      <c r="J48" t="str">
        <f>HYPERLINK("https://climate.onebuilding.org/WMO_Region_4_North_and_Central_America/BHS_Bahamas/BHS_BI_South.Bimini.Island.AP.780700_TMYx.2009-2023.zip")</f>
        <v>https://climate.onebuilding.org/WMO_Region_4_North_and_Central_America/BHS_Bahamas/BHS_BI_South.Bimini.Island.AP.780700_TMYx.2009-2023.zip</v>
      </c>
    </row>
    <row r="49" spans="1:10" x14ac:dyDescent="0.25">
      <c r="A49" t="s">
        <v>32</v>
      </c>
      <c r="B49" t="s">
        <v>42</v>
      </c>
      <c r="C49" t="s">
        <v>44</v>
      </c>
      <c r="D49">
        <v>780700</v>
      </c>
      <c r="E49" t="s">
        <v>18</v>
      </c>
      <c r="F49">
        <v>25.7</v>
      </c>
      <c r="G49">
        <v>-79.265000000000001</v>
      </c>
      <c r="H49">
        <v>-5</v>
      </c>
      <c r="I49">
        <v>3</v>
      </c>
      <c r="J49" t="str">
        <f>HYPERLINK("https://climate.onebuilding.org/WMO_Region_4_North_and_Central_America/BHS_Bahamas/BHS_BI_South.Bimini.Island.AP.780700_TMYx.zip")</f>
        <v>https://climate.onebuilding.org/WMO_Region_4_North_and_Central_America/BHS_Bahamas/BHS_BI_South.Bimini.Island.AP.780700_TMYx.zip</v>
      </c>
    </row>
    <row r="50" spans="1:10" x14ac:dyDescent="0.25">
      <c r="A50" t="s">
        <v>32</v>
      </c>
      <c r="B50" t="s">
        <v>45</v>
      </c>
      <c r="C50" t="s">
        <v>46</v>
      </c>
      <c r="D50">
        <v>780730</v>
      </c>
      <c r="E50" t="s">
        <v>47</v>
      </c>
      <c r="F50">
        <v>25.039000000000001</v>
      </c>
      <c r="G50">
        <v>-77.465999999999994</v>
      </c>
      <c r="H50">
        <v>-5</v>
      </c>
      <c r="I50">
        <v>4.9000000000000004</v>
      </c>
      <c r="J50" t="str">
        <f>HYPERLINK("https://climate.onebuilding.org/WMO_Region_4_North_and_Central_America/BHS_Bahamas/BHS_NW_Nassau.Intl.AP.780730_TMYx.2004-2018.zip")</f>
        <v>https://climate.onebuilding.org/WMO_Region_4_North_and_Central_America/BHS_Bahamas/BHS_NW_Nassau.Intl.AP.780730_TMYx.2004-2018.zip</v>
      </c>
    </row>
    <row r="51" spans="1:10" x14ac:dyDescent="0.25">
      <c r="A51" t="s">
        <v>32</v>
      </c>
      <c r="B51" t="s">
        <v>45</v>
      </c>
      <c r="C51" t="s">
        <v>46</v>
      </c>
      <c r="D51">
        <v>780730</v>
      </c>
      <c r="E51" t="s">
        <v>10</v>
      </c>
      <c r="F51">
        <v>25.039000000000001</v>
      </c>
      <c r="G51">
        <v>-77.465999999999994</v>
      </c>
      <c r="H51">
        <v>-5</v>
      </c>
      <c r="I51">
        <v>4.9000000000000004</v>
      </c>
      <c r="J51" t="str">
        <f>HYPERLINK("https://climate.onebuilding.org/WMO_Region_4_North_and_Central_America/BHS_Bahamas/BHS_NW_Nassau.Intl.AP.780730_TMYx.2007-2021.zip")</f>
        <v>https://climate.onebuilding.org/WMO_Region_4_North_and_Central_America/BHS_Bahamas/BHS_NW_Nassau.Intl.AP.780730_TMYx.2007-2021.zip</v>
      </c>
    </row>
    <row r="52" spans="1:10" x14ac:dyDescent="0.25">
      <c r="A52" t="s">
        <v>32</v>
      </c>
      <c r="B52" t="s">
        <v>45</v>
      </c>
      <c r="C52" t="s">
        <v>46</v>
      </c>
      <c r="D52">
        <v>780730</v>
      </c>
      <c r="E52" t="s">
        <v>10</v>
      </c>
      <c r="F52">
        <v>25.039000000000001</v>
      </c>
      <c r="G52">
        <v>-77.465999999999994</v>
      </c>
      <c r="H52">
        <v>-5</v>
      </c>
      <c r="I52">
        <v>4.9000000000000004</v>
      </c>
      <c r="J52" t="str">
        <f>HYPERLINK("https://climate.onebuilding.org/WMO_Region_4_North_and_Central_America/BHS_Bahamas/BHS_NW_Nassau.Intl.AP.780730_TMYx.2009-2023.zip")</f>
        <v>https://climate.onebuilding.org/WMO_Region_4_North_and_Central_America/BHS_Bahamas/BHS_NW_Nassau.Intl.AP.780730_TMYx.2009-2023.zip</v>
      </c>
    </row>
    <row r="53" spans="1:10" x14ac:dyDescent="0.25">
      <c r="A53" t="s">
        <v>32</v>
      </c>
      <c r="B53" t="s">
        <v>45</v>
      </c>
      <c r="C53" t="s">
        <v>46</v>
      </c>
      <c r="D53">
        <v>780730</v>
      </c>
      <c r="E53" t="s">
        <v>10</v>
      </c>
      <c r="F53">
        <v>25.039000000000001</v>
      </c>
      <c r="G53">
        <v>-77.465999999999994</v>
      </c>
      <c r="H53">
        <v>-5</v>
      </c>
      <c r="I53">
        <v>4.9000000000000004</v>
      </c>
      <c r="J53" t="str">
        <f>HYPERLINK("https://climate.onebuilding.org/WMO_Region_4_North_and_Central_America/BHS_Bahamas/BHS_NW_Nassau.Intl.AP.780730_TMYx.zip")</f>
        <v>https://climate.onebuilding.org/WMO_Region_4_North_and_Central_America/BHS_Bahamas/BHS_NW_Nassau.Intl.AP.780730_TMYx.zip</v>
      </c>
    </row>
    <row r="54" spans="1:10" x14ac:dyDescent="0.25">
      <c r="A54" t="s">
        <v>32</v>
      </c>
      <c r="B54" t="s">
        <v>48</v>
      </c>
      <c r="C54" t="s">
        <v>49</v>
      </c>
      <c r="D54">
        <v>780750</v>
      </c>
      <c r="E54" t="s">
        <v>18</v>
      </c>
      <c r="F54">
        <v>25.483000000000001</v>
      </c>
      <c r="G54">
        <v>-76.667000000000002</v>
      </c>
      <c r="H54">
        <v>-5</v>
      </c>
      <c r="I54">
        <v>4</v>
      </c>
      <c r="J54" t="str">
        <f>HYPERLINK("https://climate.onebuilding.org/WMO_Region_4_North_and_Central_America/BHS_Bahamas/BHS_NE_Eleuthera-North.Eleuthera.Island.780750_TMYx.2007-2021.zip")</f>
        <v>https://climate.onebuilding.org/WMO_Region_4_North_and_Central_America/BHS_Bahamas/BHS_NE_Eleuthera-North.Eleuthera.Island.780750_TMYx.2007-2021.zip</v>
      </c>
    </row>
    <row r="55" spans="1:10" x14ac:dyDescent="0.25">
      <c r="A55" t="s">
        <v>32</v>
      </c>
      <c r="B55" t="s">
        <v>48</v>
      </c>
      <c r="C55" t="s">
        <v>49</v>
      </c>
      <c r="D55">
        <v>780750</v>
      </c>
      <c r="E55" t="s">
        <v>18</v>
      </c>
      <c r="F55">
        <v>25.483000000000001</v>
      </c>
      <c r="G55">
        <v>-76.667000000000002</v>
      </c>
      <c r="H55">
        <v>-5</v>
      </c>
      <c r="I55">
        <v>4</v>
      </c>
      <c r="J55" t="str">
        <f>HYPERLINK("https://climate.onebuilding.org/WMO_Region_4_North_and_Central_America/BHS_Bahamas/BHS_NE_Eleuthera-North.Eleuthera.Island.780750_TMYx.2009-2023.zip")</f>
        <v>https://climate.onebuilding.org/WMO_Region_4_North_and_Central_America/BHS_Bahamas/BHS_NE_Eleuthera-North.Eleuthera.Island.780750_TMYx.2009-2023.zip</v>
      </c>
    </row>
    <row r="56" spans="1:10" x14ac:dyDescent="0.25">
      <c r="A56" t="s">
        <v>32</v>
      </c>
      <c r="B56" t="s">
        <v>48</v>
      </c>
      <c r="C56" t="s">
        <v>49</v>
      </c>
      <c r="D56">
        <v>780750</v>
      </c>
      <c r="E56" t="s">
        <v>18</v>
      </c>
      <c r="F56">
        <v>25.483000000000001</v>
      </c>
      <c r="G56">
        <v>-76.667000000000002</v>
      </c>
      <c r="H56">
        <v>-5</v>
      </c>
      <c r="I56">
        <v>4</v>
      </c>
      <c r="J56" t="str">
        <f>HYPERLINK("https://climate.onebuilding.org/WMO_Region_4_North_and_Central_America/BHS_Bahamas/BHS_NE_Eleuthera-North.Eleuthera.Island.780750_TMYx.zip")</f>
        <v>https://climate.onebuilding.org/WMO_Region_4_North_and_Central_America/BHS_Bahamas/BHS_NE_Eleuthera-North.Eleuthera.Island.780750_TMYx.zip</v>
      </c>
    </row>
    <row r="57" spans="1:10" x14ac:dyDescent="0.25">
      <c r="A57" t="s">
        <v>32</v>
      </c>
      <c r="B57" t="s">
        <v>50</v>
      </c>
      <c r="C57" t="s">
        <v>51</v>
      </c>
      <c r="D57">
        <v>780760</v>
      </c>
      <c r="E57" t="s">
        <v>18</v>
      </c>
      <c r="F57">
        <v>25.266999999999999</v>
      </c>
      <c r="G57">
        <v>-76.3</v>
      </c>
      <c r="H57">
        <v>-5</v>
      </c>
      <c r="I57">
        <v>29</v>
      </c>
      <c r="J57" t="str">
        <f>HYPERLINK("https://climate.onebuilding.org/WMO_Region_4_North_and_Central_America/BHS_Bahamas/BHS_HB_Eleuthera-Coffin.Hills-Harbour.Island-Governors.Harbour.AP.780760_TMYx.2007-2021.zip")</f>
        <v>https://climate.onebuilding.org/WMO_Region_4_North_and_Central_America/BHS_Bahamas/BHS_HB_Eleuthera-Coffin.Hills-Harbour.Island-Governors.Harbour.AP.780760_TMYx.2007-2021.zip</v>
      </c>
    </row>
    <row r="58" spans="1:10" x14ac:dyDescent="0.25">
      <c r="A58" t="s">
        <v>32</v>
      </c>
      <c r="B58" t="s">
        <v>50</v>
      </c>
      <c r="C58" t="s">
        <v>51</v>
      </c>
      <c r="D58">
        <v>780760</v>
      </c>
      <c r="E58" t="s">
        <v>18</v>
      </c>
      <c r="F58">
        <v>25.266999999999999</v>
      </c>
      <c r="G58">
        <v>-76.3</v>
      </c>
      <c r="H58">
        <v>-5</v>
      </c>
      <c r="I58">
        <v>29</v>
      </c>
      <c r="J58" t="str">
        <f>HYPERLINK("https://climate.onebuilding.org/WMO_Region_4_North_and_Central_America/BHS_Bahamas/BHS_HB_Eleuthera-Coffin.Hills-Harbour.Island-Governors.Harbour.AP.780760_TMYx.2009-2023.zip")</f>
        <v>https://climate.onebuilding.org/WMO_Region_4_North_and_Central_America/BHS_Bahamas/BHS_HB_Eleuthera-Coffin.Hills-Harbour.Island-Governors.Harbour.AP.780760_TMYx.2009-2023.zip</v>
      </c>
    </row>
    <row r="59" spans="1:10" x14ac:dyDescent="0.25">
      <c r="A59" t="s">
        <v>32</v>
      </c>
      <c r="B59" t="s">
        <v>50</v>
      </c>
      <c r="C59" t="s">
        <v>51</v>
      </c>
      <c r="D59">
        <v>780760</v>
      </c>
      <c r="E59" t="s">
        <v>18</v>
      </c>
      <c r="F59">
        <v>25.266999999999999</v>
      </c>
      <c r="G59">
        <v>-76.3</v>
      </c>
      <c r="H59">
        <v>-5</v>
      </c>
      <c r="I59">
        <v>29</v>
      </c>
      <c r="J59" t="str">
        <f>HYPERLINK("https://climate.onebuilding.org/WMO_Region_4_North_and_Central_America/BHS_Bahamas/BHS_HB_Eleuthera-Coffin.Hills-Harbour.Island-Governors.Harbour.AP.780760_TMYx.zip")</f>
        <v>https://climate.onebuilding.org/WMO_Region_4_North_and_Central_America/BHS_Bahamas/BHS_HB_Eleuthera-Coffin.Hills-Harbour.Island-Governors.Harbour.AP.780760_TMYx.zip</v>
      </c>
    </row>
    <row r="60" spans="1:10" x14ac:dyDescent="0.25">
      <c r="A60" t="s">
        <v>32</v>
      </c>
      <c r="B60" t="s">
        <v>50</v>
      </c>
      <c r="C60" t="s">
        <v>52</v>
      </c>
      <c r="D60">
        <v>780770</v>
      </c>
      <c r="E60" t="s">
        <v>18</v>
      </c>
      <c r="F60">
        <v>25.5</v>
      </c>
      <c r="G60">
        <v>-76.632999999999996</v>
      </c>
      <c r="H60">
        <v>-5</v>
      </c>
      <c r="I60">
        <v>16</v>
      </c>
      <c r="J60" t="str">
        <f>HYPERLINK("https://climate.onebuilding.org/WMO_Region_4_North_and_Central_America/BHS_Bahamas/BHS_HB_Eleuthera-Dunmore.Town-Harbour.Island.780770_TMYx.2007-2021.zip")</f>
        <v>https://climate.onebuilding.org/WMO_Region_4_North_and_Central_America/BHS_Bahamas/BHS_HB_Eleuthera-Dunmore.Town-Harbour.Island.780770_TMYx.2007-2021.zip</v>
      </c>
    </row>
    <row r="61" spans="1:10" x14ac:dyDescent="0.25">
      <c r="A61" t="s">
        <v>32</v>
      </c>
      <c r="B61" t="s">
        <v>50</v>
      </c>
      <c r="C61" t="s">
        <v>52</v>
      </c>
      <c r="D61">
        <v>780770</v>
      </c>
      <c r="E61" t="s">
        <v>18</v>
      </c>
      <c r="F61">
        <v>25.5</v>
      </c>
      <c r="G61">
        <v>-76.632999999999996</v>
      </c>
      <c r="H61">
        <v>-5</v>
      </c>
      <c r="I61">
        <v>16</v>
      </c>
      <c r="J61" t="str">
        <f>HYPERLINK("https://climate.onebuilding.org/WMO_Region_4_North_and_Central_America/BHS_Bahamas/BHS_HB_Eleuthera-Dunmore.Town-Harbour.Island.780770_TMYx.2009-2023.zip")</f>
        <v>https://climate.onebuilding.org/WMO_Region_4_North_and_Central_America/BHS_Bahamas/BHS_HB_Eleuthera-Dunmore.Town-Harbour.Island.780770_TMYx.2009-2023.zip</v>
      </c>
    </row>
    <row r="62" spans="1:10" x14ac:dyDescent="0.25">
      <c r="A62" t="s">
        <v>32</v>
      </c>
      <c r="B62" t="s">
        <v>50</v>
      </c>
      <c r="C62" t="s">
        <v>52</v>
      </c>
      <c r="D62">
        <v>780770</v>
      </c>
      <c r="E62" t="s">
        <v>18</v>
      </c>
      <c r="F62">
        <v>25.5</v>
      </c>
      <c r="G62">
        <v>-76.632999999999996</v>
      </c>
      <c r="H62">
        <v>-5</v>
      </c>
      <c r="I62">
        <v>16</v>
      </c>
      <c r="J62" t="str">
        <f>HYPERLINK("https://climate.onebuilding.org/WMO_Region_4_North_and_Central_America/BHS_Bahamas/BHS_HB_Eleuthera-Dunmore.Town-Harbour.Island.780770_TMYx.zip")</f>
        <v>https://climate.onebuilding.org/WMO_Region_4_North_and_Central_America/BHS_Bahamas/BHS_HB_Eleuthera-Dunmore.Town-Harbour.Island.780770_TMYx.zip</v>
      </c>
    </row>
    <row r="63" spans="1:10" x14ac:dyDescent="0.25">
      <c r="A63" t="s">
        <v>32</v>
      </c>
      <c r="B63" t="s">
        <v>53</v>
      </c>
      <c r="C63" t="s">
        <v>54</v>
      </c>
      <c r="D63">
        <v>780830</v>
      </c>
      <c r="E63" t="s">
        <v>10</v>
      </c>
      <c r="F63">
        <v>24.7</v>
      </c>
      <c r="G63">
        <v>-77.766999999999996</v>
      </c>
      <c r="H63">
        <v>-5</v>
      </c>
      <c r="I63">
        <v>3</v>
      </c>
      <c r="J63" t="str">
        <f>HYPERLINK("https://climate.onebuilding.org/WMO_Region_4_North_and_Central_America/BHS_Bahamas/BHS_SN_Andros.Town-Andros.Island.780830_TMYx.2007-2021.zip")</f>
        <v>https://climate.onebuilding.org/WMO_Region_4_North_and_Central_America/BHS_Bahamas/BHS_SN_Andros.Town-Andros.Island.780830_TMYx.2007-2021.zip</v>
      </c>
    </row>
    <row r="64" spans="1:10" x14ac:dyDescent="0.25">
      <c r="A64" t="s">
        <v>32</v>
      </c>
      <c r="B64" t="s">
        <v>53</v>
      </c>
      <c r="C64" t="s">
        <v>54</v>
      </c>
      <c r="D64">
        <v>780830</v>
      </c>
      <c r="E64" t="s">
        <v>10</v>
      </c>
      <c r="F64">
        <v>24.7</v>
      </c>
      <c r="G64">
        <v>-77.766999999999996</v>
      </c>
      <c r="H64">
        <v>-5</v>
      </c>
      <c r="I64">
        <v>3</v>
      </c>
      <c r="J64" t="str">
        <f>HYPERLINK("https://climate.onebuilding.org/WMO_Region_4_North_and_Central_America/BHS_Bahamas/BHS_SN_Andros.Town-Andros.Island.780830_TMYx.2009-2023.zip")</f>
        <v>https://climate.onebuilding.org/WMO_Region_4_North_and_Central_America/BHS_Bahamas/BHS_SN_Andros.Town-Andros.Island.780830_TMYx.2009-2023.zip</v>
      </c>
    </row>
    <row r="65" spans="1:10" x14ac:dyDescent="0.25">
      <c r="A65" t="s">
        <v>32</v>
      </c>
      <c r="B65" t="s">
        <v>53</v>
      </c>
      <c r="C65" t="s">
        <v>54</v>
      </c>
      <c r="D65">
        <v>780830</v>
      </c>
      <c r="E65" t="s">
        <v>10</v>
      </c>
      <c r="F65">
        <v>24.7</v>
      </c>
      <c r="G65">
        <v>-77.766999999999996</v>
      </c>
      <c r="H65">
        <v>-5</v>
      </c>
      <c r="I65">
        <v>3</v>
      </c>
      <c r="J65" t="str">
        <f>HYPERLINK("https://climate.onebuilding.org/WMO_Region_4_North_and_Central_America/BHS_Bahamas/BHS_SN_Andros.Town-Andros.Island.780830_TMYx.zip")</f>
        <v>https://climate.onebuilding.org/WMO_Region_4_North_and_Central_America/BHS_Bahamas/BHS_SN_Andros.Town-Andros.Island.780830_TMYx.zip</v>
      </c>
    </row>
    <row r="66" spans="1:10" x14ac:dyDescent="0.25">
      <c r="A66" t="s">
        <v>32</v>
      </c>
      <c r="B66" t="s">
        <v>53</v>
      </c>
      <c r="C66" t="s">
        <v>55</v>
      </c>
      <c r="D66">
        <v>780850</v>
      </c>
      <c r="E66" t="s">
        <v>18</v>
      </c>
      <c r="F66">
        <v>24.25</v>
      </c>
      <c r="G66">
        <v>-77.650000000000006</v>
      </c>
      <c r="H66">
        <v>-5</v>
      </c>
      <c r="I66">
        <v>2</v>
      </c>
      <c r="J66" t="str">
        <f>HYPERLINK("https://climate.onebuilding.org/WMO_Region_4_North_and_Central_America/BHS_Bahamas/BHS_SN_Mangrove.Cay-Andros.Island.780850_TMYx.2007-2021.zip")</f>
        <v>https://climate.onebuilding.org/WMO_Region_4_North_and_Central_America/BHS_Bahamas/BHS_SN_Mangrove.Cay-Andros.Island.780850_TMYx.2007-2021.zip</v>
      </c>
    </row>
    <row r="67" spans="1:10" x14ac:dyDescent="0.25">
      <c r="A67" t="s">
        <v>32</v>
      </c>
      <c r="B67" t="s">
        <v>53</v>
      </c>
      <c r="C67" t="s">
        <v>55</v>
      </c>
      <c r="D67">
        <v>780850</v>
      </c>
      <c r="E67" t="s">
        <v>18</v>
      </c>
      <c r="F67">
        <v>24.25</v>
      </c>
      <c r="G67">
        <v>-77.650000000000006</v>
      </c>
      <c r="H67">
        <v>-5</v>
      </c>
      <c r="I67">
        <v>2</v>
      </c>
      <c r="J67" t="str">
        <f>HYPERLINK("https://climate.onebuilding.org/WMO_Region_4_North_and_Central_America/BHS_Bahamas/BHS_SN_Mangrove.Cay-Andros.Island.780850_TMYx.2009-2023.zip")</f>
        <v>https://climate.onebuilding.org/WMO_Region_4_North_and_Central_America/BHS_Bahamas/BHS_SN_Mangrove.Cay-Andros.Island.780850_TMYx.2009-2023.zip</v>
      </c>
    </row>
    <row r="68" spans="1:10" x14ac:dyDescent="0.25">
      <c r="A68" t="s">
        <v>32</v>
      </c>
      <c r="B68" t="s">
        <v>53</v>
      </c>
      <c r="C68" t="s">
        <v>55</v>
      </c>
      <c r="D68">
        <v>780850</v>
      </c>
      <c r="E68" t="s">
        <v>18</v>
      </c>
      <c r="F68">
        <v>24.25</v>
      </c>
      <c r="G68">
        <v>-77.650000000000006</v>
      </c>
      <c r="H68">
        <v>-5</v>
      </c>
      <c r="I68">
        <v>2</v>
      </c>
      <c r="J68" t="str">
        <f>HYPERLINK("https://climate.onebuilding.org/WMO_Region_4_North_and_Central_America/BHS_Bahamas/BHS_SN_Mangrove.Cay-Andros.Island.780850_TMYx.zip")</f>
        <v>https://climate.onebuilding.org/WMO_Region_4_North_and_Central_America/BHS_Bahamas/BHS_SN_Mangrove.Cay-Andros.Island.780850_TMYx.zip</v>
      </c>
    </row>
    <row r="69" spans="1:10" x14ac:dyDescent="0.25">
      <c r="A69" t="s">
        <v>32</v>
      </c>
      <c r="B69" t="s">
        <v>53</v>
      </c>
      <c r="C69" t="s">
        <v>56</v>
      </c>
      <c r="D69">
        <v>780860</v>
      </c>
      <c r="E69" t="s">
        <v>18</v>
      </c>
      <c r="F69">
        <v>24.082999999999998</v>
      </c>
      <c r="G69">
        <v>-77.55</v>
      </c>
      <c r="H69">
        <v>-5</v>
      </c>
      <c r="I69">
        <v>4</v>
      </c>
      <c r="J69" t="str">
        <f>HYPERLINK("https://climate.onebuilding.org/WMO_Region_4_North_and_Central_America/BHS_Bahamas/BHS_SN_Kemps.Bay-Andros.Island.780860_TMYx.2007-2021.zip")</f>
        <v>https://climate.onebuilding.org/WMO_Region_4_North_and_Central_America/BHS_Bahamas/BHS_SN_Kemps.Bay-Andros.Island.780860_TMYx.2007-2021.zip</v>
      </c>
    </row>
    <row r="70" spans="1:10" x14ac:dyDescent="0.25">
      <c r="A70" t="s">
        <v>32</v>
      </c>
      <c r="B70" t="s">
        <v>53</v>
      </c>
      <c r="C70" t="s">
        <v>56</v>
      </c>
      <c r="D70">
        <v>780860</v>
      </c>
      <c r="E70" t="s">
        <v>18</v>
      </c>
      <c r="F70">
        <v>24.082999999999998</v>
      </c>
      <c r="G70">
        <v>-77.55</v>
      </c>
      <c r="H70">
        <v>-5</v>
      </c>
      <c r="I70">
        <v>4</v>
      </c>
      <c r="J70" t="str">
        <f>HYPERLINK("https://climate.onebuilding.org/WMO_Region_4_North_and_Central_America/BHS_Bahamas/BHS_SN_Kemps.Bay-Andros.Island.780860_TMYx.2009-2023.zip")</f>
        <v>https://climate.onebuilding.org/WMO_Region_4_North_and_Central_America/BHS_Bahamas/BHS_SN_Kemps.Bay-Andros.Island.780860_TMYx.2009-2023.zip</v>
      </c>
    </row>
    <row r="71" spans="1:10" x14ac:dyDescent="0.25">
      <c r="A71" t="s">
        <v>32</v>
      </c>
      <c r="B71" t="s">
        <v>53</v>
      </c>
      <c r="C71" t="s">
        <v>56</v>
      </c>
      <c r="D71">
        <v>780860</v>
      </c>
      <c r="E71" t="s">
        <v>18</v>
      </c>
      <c r="F71">
        <v>24.082999999999998</v>
      </c>
      <c r="G71">
        <v>-77.55</v>
      </c>
      <c r="H71">
        <v>-5</v>
      </c>
      <c r="I71">
        <v>4</v>
      </c>
      <c r="J71" t="str">
        <f>HYPERLINK("https://climate.onebuilding.org/WMO_Region_4_North_and_Central_America/BHS_Bahamas/BHS_SN_Kemps.Bay-Andros.Island.780860_TMYx.zip")</f>
        <v>https://climate.onebuilding.org/WMO_Region_4_North_and_Central_America/BHS_Bahamas/BHS_SN_Kemps.Bay-Andros.Island.780860_TMYx.zip</v>
      </c>
    </row>
    <row r="72" spans="1:10" x14ac:dyDescent="0.25">
      <c r="A72" t="s">
        <v>32</v>
      </c>
      <c r="B72" t="s">
        <v>57</v>
      </c>
      <c r="C72" t="s">
        <v>58</v>
      </c>
      <c r="D72">
        <v>780870</v>
      </c>
      <c r="E72" t="s">
        <v>18</v>
      </c>
      <c r="F72">
        <v>24.289670000000001</v>
      </c>
      <c r="G72">
        <v>-75.414439999999999</v>
      </c>
      <c r="H72">
        <v>-5</v>
      </c>
      <c r="I72">
        <v>3</v>
      </c>
      <c r="J72" t="str">
        <f>HYPERLINK("https://climate.onebuilding.org/WMO_Region_4_North_and_Central_America/BHS_Bahamas/BHS_CI_The.Bight.Cat.Island.780870_TMYx.2007-2021.zip")</f>
        <v>https://climate.onebuilding.org/WMO_Region_4_North_and_Central_America/BHS_Bahamas/BHS_CI_The.Bight.Cat.Island.780870_TMYx.2007-2021.zip</v>
      </c>
    </row>
    <row r="73" spans="1:10" x14ac:dyDescent="0.25">
      <c r="A73" t="s">
        <v>32</v>
      </c>
      <c r="B73" t="s">
        <v>57</v>
      </c>
      <c r="C73" t="s">
        <v>58</v>
      </c>
      <c r="D73">
        <v>780870</v>
      </c>
      <c r="E73" t="s">
        <v>18</v>
      </c>
      <c r="F73">
        <v>24.289670000000001</v>
      </c>
      <c r="G73">
        <v>-75.414439999999999</v>
      </c>
      <c r="H73">
        <v>-5</v>
      </c>
      <c r="I73">
        <v>3</v>
      </c>
      <c r="J73" t="str">
        <f>HYPERLINK("https://climate.onebuilding.org/WMO_Region_4_North_and_Central_America/BHS_Bahamas/BHS_CI_The.Bight.Cat.Island.780870_TMYx.2009-2023.zip")</f>
        <v>https://climate.onebuilding.org/WMO_Region_4_North_and_Central_America/BHS_Bahamas/BHS_CI_The.Bight.Cat.Island.780870_TMYx.2009-2023.zip</v>
      </c>
    </row>
    <row r="74" spans="1:10" x14ac:dyDescent="0.25">
      <c r="A74" t="s">
        <v>32</v>
      </c>
      <c r="B74" t="s">
        <v>57</v>
      </c>
      <c r="C74" t="s">
        <v>58</v>
      </c>
      <c r="D74">
        <v>780870</v>
      </c>
      <c r="E74" t="s">
        <v>18</v>
      </c>
      <c r="F74">
        <v>24.289670000000001</v>
      </c>
      <c r="G74">
        <v>-75.414439999999999</v>
      </c>
      <c r="H74">
        <v>-5</v>
      </c>
      <c r="I74">
        <v>3</v>
      </c>
      <c r="J74" t="str">
        <f>HYPERLINK("https://climate.onebuilding.org/WMO_Region_4_North_and_Central_America/BHS_Bahamas/BHS_CI_The.Bight.Cat.Island.780870_TMYx.zip")</f>
        <v>https://climate.onebuilding.org/WMO_Region_4_North_and_Central_America/BHS_Bahamas/BHS_CI_The.Bight.Cat.Island.780870_TMYx.zip</v>
      </c>
    </row>
    <row r="75" spans="1:10" x14ac:dyDescent="0.25">
      <c r="A75" t="s">
        <v>32</v>
      </c>
      <c r="B75" t="s">
        <v>59</v>
      </c>
      <c r="C75" t="s">
        <v>60</v>
      </c>
      <c r="D75">
        <v>780880</v>
      </c>
      <c r="E75" t="s">
        <v>18</v>
      </c>
      <c r="F75">
        <v>24.062999999999999</v>
      </c>
      <c r="G75">
        <v>-74.524000000000001</v>
      </c>
      <c r="H75">
        <v>-5</v>
      </c>
      <c r="I75">
        <v>7.3</v>
      </c>
      <c r="J75" t="str">
        <f>HYPERLINK("https://climate.onebuilding.org/WMO_Region_4_North_and_Central_America/BHS_Bahamas/BHS_SS_Cockburn.Town-San.Salvador.Island.AP.780880_TMYx.2007-2021.zip")</f>
        <v>https://climate.onebuilding.org/WMO_Region_4_North_and_Central_America/BHS_Bahamas/BHS_SS_Cockburn.Town-San.Salvador.Island.AP.780880_TMYx.2007-2021.zip</v>
      </c>
    </row>
    <row r="76" spans="1:10" x14ac:dyDescent="0.25">
      <c r="A76" t="s">
        <v>32</v>
      </c>
      <c r="B76" t="s">
        <v>59</v>
      </c>
      <c r="C76" t="s">
        <v>60</v>
      </c>
      <c r="D76">
        <v>780880</v>
      </c>
      <c r="E76" t="s">
        <v>18</v>
      </c>
      <c r="F76">
        <v>24.062999999999999</v>
      </c>
      <c r="G76">
        <v>-74.524000000000001</v>
      </c>
      <c r="H76">
        <v>-5</v>
      </c>
      <c r="I76">
        <v>7.3</v>
      </c>
      <c r="J76" t="str">
        <f>HYPERLINK("https://climate.onebuilding.org/WMO_Region_4_North_and_Central_America/BHS_Bahamas/BHS_SS_Cockburn.Town-San.Salvador.Island.AP.780880_TMYx.2009-2023.zip")</f>
        <v>https://climate.onebuilding.org/WMO_Region_4_North_and_Central_America/BHS_Bahamas/BHS_SS_Cockburn.Town-San.Salvador.Island.AP.780880_TMYx.2009-2023.zip</v>
      </c>
    </row>
    <row r="77" spans="1:10" x14ac:dyDescent="0.25">
      <c r="A77" t="s">
        <v>32</v>
      </c>
      <c r="B77" t="s">
        <v>59</v>
      </c>
      <c r="C77" t="s">
        <v>60</v>
      </c>
      <c r="D77">
        <v>780880</v>
      </c>
      <c r="E77" t="s">
        <v>18</v>
      </c>
      <c r="F77">
        <v>24.062999999999999</v>
      </c>
      <c r="G77">
        <v>-74.524000000000001</v>
      </c>
      <c r="H77">
        <v>-5</v>
      </c>
      <c r="I77">
        <v>7.3</v>
      </c>
      <c r="J77" t="str">
        <f>HYPERLINK("https://climate.onebuilding.org/WMO_Region_4_North_and_Central_America/BHS_Bahamas/BHS_SS_Cockburn.Town-San.Salvador.Island.AP.780880_TMYx.zip")</f>
        <v>https://climate.onebuilding.org/WMO_Region_4_North_and_Central_America/BHS_Bahamas/BHS_SS_Cockburn.Town-San.Salvador.Island.AP.780880_TMYx.zip</v>
      </c>
    </row>
    <row r="78" spans="1:10" x14ac:dyDescent="0.25">
      <c r="A78" t="s">
        <v>32</v>
      </c>
      <c r="B78" t="s">
        <v>61</v>
      </c>
      <c r="C78" t="s">
        <v>62</v>
      </c>
      <c r="D78">
        <v>780910</v>
      </c>
      <c r="E78" t="s">
        <v>18</v>
      </c>
      <c r="F78">
        <v>23.562999999999999</v>
      </c>
      <c r="G78">
        <v>-75.878</v>
      </c>
      <c r="H78">
        <v>-5</v>
      </c>
      <c r="I78">
        <v>2.7</v>
      </c>
      <c r="J78" t="str">
        <f>HYPERLINK("https://climate.onebuilding.org/WMO_Region_4_North_and_Central_America/BHS_Bahamas/BHS_CK_Moss.Town-Exuma.Intl.AP.780910_TMYx.2007-2021.zip")</f>
        <v>https://climate.onebuilding.org/WMO_Region_4_North_and_Central_America/BHS_Bahamas/BHS_CK_Moss.Town-Exuma.Intl.AP.780910_TMYx.2007-2021.zip</v>
      </c>
    </row>
    <row r="79" spans="1:10" x14ac:dyDescent="0.25">
      <c r="A79" t="s">
        <v>32</v>
      </c>
      <c r="B79" t="s">
        <v>61</v>
      </c>
      <c r="C79" t="s">
        <v>62</v>
      </c>
      <c r="D79">
        <v>780910</v>
      </c>
      <c r="E79" t="s">
        <v>18</v>
      </c>
      <c r="F79">
        <v>23.562999999999999</v>
      </c>
      <c r="G79">
        <v>-75.878</v>
      </c>
      <c r="H79">
        <v>-5</v>
      </c>
      <c r="I79">
        <v>2.7</v>
      </c>
      <c r="J79" t="str">
        <f>HYPERLINK("https://climate.onebuilding.org/WMO_Region_4_North_and_Central_America/BHS_Bahamas/BHS_CK_Moss.Town-Exuma.Intl.AP.780910_TMYx.2009-2023.zip")</f>
        <v>https://climate.onebuilding.org/WMO_Region_4_North_and_Central_America/BHS_Bahamas/BHS_CK_Moss.Town-Exuma.Intl.AP.780910_TMYx.2009-2023.zip</v>
      </c>
    </row>
    <row r="80" spans="1:10" x14ac:dyDescent="0.25">
      <c r="A80" t="s">
        <v>32</v>
      </c>
      <c r="B80" t="s">
        <v>61</v>
      </c>
      <c r="C80" t="s">
        <v>62</v>
      </c>
      <c r="D80">
        <v>780910</v>
      </c>
      <c r="E80" t="s">
        <v>18</v>
      </c>
      <c r="F80">
        <v>23.562999999999999</v>
      </c>
      <c r="G80">
        <v>-75.878</v>
      </c>
      <c r="H80">
        <v>-5</v>
      </c>
      <c r="I80">
        <v>2.7</v>
      </c>
      <c r="J80" t="str">
        <f>HYPERLINK("https://climate.onebuilding.org/WMO_Region_4_North_and_Central_America/BHS_Bahamas/BHS_CK_Moss.Town-Exuma.Intl.AP.780910_TMYx.zip")</f>
        <v>https://climate.onebuilding.org/WMO_Region_4_North_and_Central_America/BHS_Bahamas/BHS_CK_Moss.Town-Exuma.Intl.AP.780910_TMYx.zip</v>
      </c>
    </row>
    <row r="81" spans="1:10" x14ac:dyDescent="0.25">
      <c r="A81" t="s">
        <v>32</v>
      </c>
      <c r="B81" t="s">
        <v>63</v>
      </c>
      <c r="C81" t="s">
        <v>64</v>
      </c>
      <c r="D81">
        <v>780920</v>
      </c>
      <c r="E81" t="s">
        <v>18</v>
      </c>
      <c r="F81">
        <v>23.466999999999999</v>
      </c>
      <c r="G81">
        <v>-75.781999999999996</v>
      </c>
      <c r="H81">
        <v>-5</v>
      </c>
      <c r="I81">
        <v>1.5</v>
      </c>
      <c r="J81" t="str">
        <f>HYPERLINK("https://climate.onebuilding.org/WMO_Region_4_North_and_Central_America/BHS_Bahamas/BHS_EM_George.Town.AP-Great.Exuma.Island.780920_TMYx.2007-2021.zip")</f>
        <v>https://climate.onebuilding.org/WMO_Region_4_North_and_Central_America/BHS_Bahamas/BHS_EM_George.Town.AP-Great.Exuma.Island.780920_TMYx.2007-2021.zip</v>
      </c>
    </row>
    <row r="82" spans="1:10" x14ac:dyDescent="0.25">
      <c r="A82" t="s">
        <v>32</v>
      </c>
      <c r="B82" t="s">
        <v>63</v>
      </c>
      <c r="C82" t="s">
        <v>64</v>
      </c>
      <c r="D82">
        <v>780920</v>
      </c>
      <c r="E82" t="s">
        <v>18</v>
      </c>
      <c r="F82">
        <v>23.466999999999999</v>
      </c>
      <c r="G82">
        <v>-75.781999999999996</v>
      </c>
      <c r="H82">
        <v>-5</v>
      </c>
      <c r="I82">
        <v>1.5</v>
      </c>
      <c r="J82" t="str">
        <f>HYPERLINK("https://climate.onebuilding.org/WMO_Region_4_North_and_Central_America/BHS_Bahamas/BHS_EM_George.Town.AP-Great.Exuma.Island.780920_TMYx.2009-2023.zip")</f>
        <v>https://climate.onebuilding.org/WMO_Region_4_North_and_Central_America/BHS_Bahamas/BHS_EM_George.Town.AP-Great.Exuma.Island.780920_TMYx.2009-2023.zip</v>
      </c>
    </row>
    <row r="83" spans="1:10" x14ac:dyDescent="0.25">
      <c r="A83" t="s">
        <v>32</v>
      </c>
      <c r="B83" t="s">
        <v>63</v>
      </c>
      <c r="C83" t="s">
        <v>64</v>
      </c>
      <c r="D83">
        <v>780920</v>
      </c>
      <c r="E83" t="s">
        <v>18</v>
      </c>
      <c r="F83">
        <v>23.466999999999999</v>
      </c>
      <c r="G83">
        <v>-75.781999999999996</v>
      </c>
      <c r="H83">
        <v>-5</v>
      </c>
      <c r="I83">
        <v>1.5</v>
      </c>
      <c r="J83" t="str">
        <f>HYPERLINK("https://climate.onebuilding.org/WMO_Region_4_North_and_Central_America/BHS_Bahamas/BHS_EM_George.Town.AP-Great.Exuma.Island.780920_TMYx.zip")</f>
        <v>https://climate.onebuilding.org/WMO_Region_4_North_and_Central_America/BHS_Bahamas/BHS_EM_George.Town.AP-Great.Exuma.Island.780920_TMYx.zip</v>
      </c>
    </row>
    <row r="84" spans="1:10" x14ac:dyDescent="0.25">
      <c r="A84" t="s">
        <v>32</v>
      </c>
      <c r="B84" t="s">
        <v>65</v>
      </c>
      <c r="C84" t="s">
        <v>66</v>
      </c>
      <c r="D84">
        <v>780940</v>
      </c>
      <c r="E84" t="s">
        <v>18</v>
      </c>
      <c r="F84">
        <v>23.1</v>
      </c>
      <c r="G84">
        <v>-74.966999999999999</v>
      </c>
      <c r="H84">
        <v>-5</v>
      </c>
      <c r="I84">
        <v>9</v>
      </c>
      <c r="J84" t="str">
        <f>HYPERLINK("https://climate.onebuilding.org/WMO_Region_4_North_and_Central_America/BHS_Bahamas/BHS_LI_Clarence.Town-Deadmans.Cay-Long.Island.780940_TMYx.2007-2021.zip")</f>
        <v>https://climate.onebuilding.org/WMO_Region_4_North_and_Central_America/BHS_Bahamas/BHS_LI_Clarence.Town-Deadmans.Cay-Long.Island.780940_TMYx.2007-2021.zip</v>
      </c>
    </row>
    <row r="85" spans="1:10" x14ac:dyDescent="0.25">
      <c r="A85" t="s">
        <v>32</v>
      </c>
      <c r="B85" t="s">
        <v>65</v>
      </c>
      <c r="C85" t="s">
        <v>66</v>
      </c>
      <c r="D85">
        <v>780940</v>
      </c>
      <c r="E85" t="s">
        <v>18</v>
      </c>
      <c r="F85">
        <v>23.1</v>
      </c>
      <c r="G85">
        <v>-74.966999999999999</v>
      </c>
      <c r="H85">
        <v>-5</v>
      </c>
      <c r="I85">
        <v>9</v>
      </c>
      <c r="J85" t="str">
        <f>HYPERLINK("https://climate.onebuilding.org/WMO_Region_4_North_and_Central_America/BHS_Bahamas/BHS_LI_Clarence.Town-Deadmans.Cay-Long.Island.780940_TMYx.2009-2023.zip")</f>
        <v>https://climate.onebuilding.org/WMO_Region_4_North_and_Central_America/BHS_Bahamas/BHS_LI_Clarence.Town-Deadmans.Cay-Long.Island.780940_TMYx.2009-2023.zip</v>
      </c>
    </row>
    <row r="86" spans="1:10" x14ac:dyDescent="0.25">
      <c r="A86" t="s">
        <v>32</v>
      </c>
      <c r="B86" t="s">
        <v>65</v>
      </c>
      <c r="C86" t="s">
        <v>66</v>
      </c>
      <c r="D86">
        <v>780940</v>
      </c>
      <c r="E86" t="s">
        <v>18</v>
      </c>
      <c r="F86">
        <v>23.1</v>
      </c>
      <c r="G86">
        <v>-74.966999999999999</v>
      </c>
      <c r="H86">
        <v>-5</v>
      </c>
      <c r="I86">
        <v>9</v>
      </c>
      <c r="J86" t="str">
        <f>HYPERLINK("https://climate.onebuilding.org/WMO_Region_4_North_and_Central_America/BHS_Bahamas/BHS_LI_Clarence.Town-Deadmans.Cay-Long.Island.780940_TMYx.zip")</f>
        <v>https://climate.onebuilding.org/WMO_Region_4_North_and_Central_America/BHS_Bahamas/BHS_LI_Clarence.Town-Deadmans.Cay-Long.Island.780940_TMYx.zip</v>
      </c>
    </row>
    <row r="87" spans="1:10" x14ac:dyDescent="0.25">
      <c r="A87" t="s">
        <v>32</v>
      </c>
      <c r="B87" t="s">
        <v>67</v>
      </c>
      <c r="C87" t="s">
        <v>68</v>
      </c>
      <c r="D87">
        <v>781010</v>
      </c>
      <c r="E87" t="s">
        <v>18</v>
      </c>
      <c r="F87">
        <v>22.2</v>
      </c>
      <c r="G87">
        <v>-75.733000000000004</v>
      </c>
      <c r="H87">
        <v>-5</v>
      </c>
      <c r="I87">
        <v>13</v>
      </c>
      <c r="J87" t="str">
        <f>HYPERLINK("https://climate.onebuilding.org/WMO_Region_4_North_and_Central_America/BHS_Bahamas/BHS_RI_Duncan.Town-Ragged.Island.781010_TMYx.2007-2021.zip")</f>
        <v>https://climate.onebuilding.org/WMO_Region_4_North_and_Central_America/BHS_Bahamas/BHS_RI_Duncan.Town-Ragged.Island.781010_TMYx.2007-2021.zip</v>
      </c>
    </row>
    <row r="88" spans="1:10" x14ac:dyDescent="0.25">
      <c r="A88" t="s">
        <v>32</v>
      </c>
      <c r="B88" t="s">
        <v>67</v>
      </c>
      <c r="C88" t="s">
        <v>68</v>
      </c>
      <c r="D88">
        <v>781010</v>
      </c>
      <c r="E88" t="s">
        <v>18</v>
      </c>
      <c r="F88">
        <v>22.2</v>
      </c>
      <c r="G88">
        <v>-75.733000000000004</v>
      </c>
      <c r="H88">
        <v>-5</v>
      </c>
      <c r="I88">
        <v>13</v>
      </c>
      <c r="J88" t="str">
        <f>HYPERLINK("https://climate.onebuilding.org/WMO_Region_4_North_and_Central_America/BHS_Bahamas/BHS_RI_Duncan.Town-Ragged.Island.781010_TMYx.2009-2023.zip")</f>
        <v>https://climate.onebuilding.org/WMO_Region_4_North_and_Central_America/BHS_Bahamas/BHS_RI_Duncan.Town-Ragged.Island.781010_TMYx.2009-2023.zip</v>
      </c>
    </row>
    <row r="89" spans="1:10" x14ac:dyDescent="0.25">
      <c r="A89" t="s">
        <v>32</v>
      </c>
      <c r="B89" t="s">
        <v>67</v>
      </c>
      <c r="C89" t="s">
        <v>68</v>
      </c>
      <c r="D89">
        <v>781010</v>
      </c>
      <c r="E89" t="s">
        <v>18</v>
      </c>
      <c r="F89">
        <v>22.2</v>
      </c>
      <c r="G89">
        <v>-75.733000000000004</v>
      </c>
      <c r="H89">
        <v>-5</v>
      </c>
      <c r="I89">
        <v>13</v>
      </c>
      <c r="J89" t="str">
        <f>HYPERLINK("https://climate.onebuilding.org/WMO_Region_4_North_and_Central_America/BHS_Bahamas/BHS_RI_Duncan.Town-Ragged.Island.781010_TMYx.zip")</f>
        <v>https://climate.onebuilding.org/WMO_Region_4_North_and_Central_America/BHS_Bahamas/BHS_RI_Duncan.Town-Ragged.Island.781010_TMYx.zip</v>
      </c>
    </row>
    <row r="90" spans="1:10" x14ac:dyDescent="0.25">
      <c r="A90" t="s">
        <v>32</v>
      </c>
      <c r="B90" t="s">
        <v>61</v>
      </c>
      <c r="C90" t="s">
        <v>69</v>
      </c>
      <c r="D90">
        <v>781030</v>
      </c>
      <c r="E90" t="s">
        <v>18</v>
      </c>
      <c r="F90">
        <v>22.75</v>
      </c>
      <c r="G90">
        <v>-74.233000000000004</v>
      </c>
      <c r="H90">
        <v>-5</v>
      </c>
      <c r="I90">
        <v>29</v>
      </c>
      <c r="J90" t="str">
        <f>HYPERLINK("https://climate.onebuilding.org/WMO_Region_4_North_and_Central_America/BHS_Bahamas/BHS_CK_Colonel.Hill-Church.Grove-Crooked.Island.781030_TMYx.2007-2021.zip")</f>
        <v>https://climate.onebuilding.org/WMO_Region_4_North_and_Central_America/BHS_Bahamas/BHS_CK_Colonel.Hill-Church.Grove-Crooked.Island.781030_TMYx.2007-2021.zip</v>
      </c>
    </row>
    <row r="91" spans="1:10" x14ac:dyDescent="0.25">
      <c r="A91" t="s">
        <v>32</v>
      </c>
      <c r="B91" t="s">
        <v>61</v>
      </c>
      <c r="C91" t="s">
        <v>69</v>
      </c>
      <c r="D91">
        <v>781030</v>
      </c>
      <c r="E91" t="s">
        <v>18</v>
      </c>
      <c r="F91">
        <v>22.75</v>
      </c>
      <c r="G91">
        <v>-74.233000000000004</v>
      </c>
      <c r="H91">
        <v>-5</v>
      </c>
      <c r="I91">
        <v>29</v>
      </c>
      <c r="J91" t="str">
        <f>HYPERLINK("https://climate.onebuilding.org/WMO_Region_4_North_and_Central_America/BHS_Bahamas/BHS_CK_Colonel.Hill-Church.Grove-Crooked.Island.781030_TMYx.2009-2023.zip")</f>
        <v>https://climate.onebuilding.org/WMO_Region_4_North_and_Central_America/BHS_Bahamas/BHS_CK_Colonel.Hill-Church.Grove-Crooked.Island.781030_TMYx.2009-2023.zip</v>
      </c>
    </row>
    <row r="92" spans="1:10" x14ac:dyDescent="0.25">
      <c r="A92" t="s">
        <v>32</v>
      </c>
      <c r="B92" t="s">
        <v>61</v>
      </c>
      <c r="C92" t="s">
        <v>69</v>
      </c>
      <c r="D92">
        <v>781030</v>
      </c>
      <c r="E92" t="s">
        <v>18</v>
      </c>
      <c r="F92">
        <v>22.75</v>
      </c>
      <c r="G92">
        <v>-74.233000000000004</v>
      </c>
      <c r="H92">
        <v>-5</v>
      </c>
      <c r="I92">
        <v>29</v>
      </c>
      <c r="J92" t="str">
        <f>HYPERLINK("https://climate.onebuilding.org/WMO_Region_4_North_and_Central_America/BHS_Bahamas/BHS_CK_Colonel.Hill-Church.Grove-Crooked.Island.781030_TMYx.zip")</f>
        <v>https://climate.onebuilding.org/WMO_Region_4_North_and_Central_America/BHS_Bahamas/BHS_CK_Colonel.Hill-Church.Grove-Crooked.Island.781030_TMYx.zip</v>
      </c>
    </row>
    <row r="93" spans="1:10" x14ac:dyDescent="0.25">
      <c r="A93" t="s">
        <v>32</v>
      </c>
      <c r="B93" t="s">
        <v>70</v>
      </c>
      <c r="C93" t="s">
        <v>71</v>
      </c>
      <c r="D93">
        <v>781090</v>
      </c>
      <c r="E93" t="s">
        <v>18</v>
      </c>
      <c r="F93">
        <v>22.367000000000001</v>
      </c>
      <c r="G93">
        <v>-72.966999999999999</v>
      </c>
      <c r="H93">
        <v>-5</v>
      </c>
      <c r="I93">
        <v>3</v>
      </c>
      <c r="J93" t="str">
        <f>HYPERLINK("https://climate.onebuilding.org/WMO_Region_4_North_and_Central_America/BHS_Bahamas/BHS_MG_Abrahams.Bay-Mayaguana.Island.781090_TMYx.2007-2021.zip")</f>
        <v>https://climate.onebuilding.org/WMO_Region_4_North_and_Central_America/BHS_Bahamas/BHS_MG_Abrahams.Bay-Mayaguana.Island.781090_TMYx.2007-2021.zip</v>
      </c>
    </row>
    <row r="94" spans="1:10" x14ac:dyDescent="0.25">
      <c r="A94" t="s">
        <v>32</v>
      </c>
      <c r="B94" t="s">
        <v>70</v>
      </c>
      <c r="C94" t="s">
        <v>71</v>
      </c>
      <c r="D94">
        <v>781090</v>
      </c>
      <c r="E94" t="s">
        <v>18</v>
      </c>
      <c r="F94">
        <v>22.367000000000001</v>
      </c>
      <c r="G94">
        <v>-72.966999999999999</v>
      </c>
      <c r="H94">
        <v>-5</v>
      </c>
      <c r="I94">
        <v>3</v>
      </c>
      <c r="J94" t="str">
        <f>HYPERLINK("https://climate.onebuilding.org/WMO_Region_4_North_and_Central_America/BHS_Bahamas/BHS_MG_Abrahams.Bay-Mayaguana.Island.781090_TMYx.2009-2023.zip")</f>
        <v>https://climate.onebuilding.org/WMO_Region_4_North_and_Central_America/BHS_Bahamas/BHS_MG_Abrahams.Bay-Mayaguana.Island.781090_TMYx.2009-2023.zip</v>
      </c>
    </row>
    <row r="95" spans="1:10" x14ac:dyDescent="0.25">
      <c r="A95" t="s">
        <v>32</v>
      </c>
      <c r="B95" t="s">
        <v>70</v>
      </c>
      <c r="C95" t="s">
        <v>71</v>
      </c>
      <c r="D95">
        <v>781090</v>
      </c>
      <c r="E95" t="s">
        <v>18</v>
      </c>
      <c r="F95">
        <v>22.367000000000001</v>
      </c>
      <c r="G95">
        <v>-72.966999999999999</v>
      </c>
      <c r="H95">
        <v>-5</v>
      </c>
      <c r="I95">
        <v>3</v>
      </c>
      <c r="J95" t="str">
        <f>HYPERLINK("https://climate.onebuilding.org/WMO_Region_4_North_and_Central_America/BHS_Bahamas/BHS_MG_Abrahams.Bay-Mayaguana.Island.781090_TMYx.zip")</f>
        <v>https://climate.onebuilding.org/WMO_Region_4_North_and_Central_America/BHS_Bahamas/BHS_MG_Abrahams.Bay-Mayaguana.Island.781090_TMYx.zip</v>
      </c>
    </row>
    <row r="96" spans="1:10" x14ac:dyDescent="0.25">
      <c r="A96" t="s">
        <v>32</v>
      </c>
      <c r="B96" t="s">
        <v>72</v>
      </c>
      <c r="C96" t="s">
        <v>73</v>
      </c>
      <c r="D96">
        <v>781200</v>
      </c>
      <c r="E96" t="s">
        <v>18</v>
      </c>
      <c r="F96">
        <v>20.95</v>
      </c>
      <c r="G96">
        <v>-73.650000000000006</v>
      </c>
      <c r="H96">
        <v>-5</v>
      </c>
      <c r="I96">
        <v>3</v>
      </c>
      <c r="J96" t="str">
        <f>HYPERLINK("https://climate.onebuilding.org/WMO_Region_4_North_and_Central_America/BHS_Bahamas/BHS_IN_Matthew.Town-Inagua.Island.781200_TMYx.2007-2021.zip")</f>
        <v>https://climate.onebuilding.org/WMO_Region_4_North_and_Central_America/BHS_Bahamas/BHS_IN_Matthew.Town-Inagua.Island.781200_TMYx.2007-2021.zip</v>
      </c>
    </row>
    <row r="97" spans="1:10" x14ac:dyDescent="0.25">
      <c r="A97" t="s">
        <v>32</v>
      </c>
      <c r="B97" t="s">
        <v>72</v>
      </c>
      <c r="C97" t="s">
        <v>73</v>
      </c>
      <c r="D97">
        <v>781200</v>
      </c>
      <c r="E97" t="s">
        <v>18</v>
      </c>
      <c r="F97">
        <v>20.95</v>
      </c>
      <c r="G97">
        <v>-73.650000000000006</v>
      </c>
      <c r="H97">
        <v>-5</v>
      </c>
      <c r="I97">
        <v>3</v>
      </c>
      <c r="J97" t="str">
        <f>HYPERLINK("https://climate.onebuilding.org/WMO_Region_4_North_and_Central_America/BHS_Bahamas/BHS_IN_Matthew.Town-Inagua.Island.781200_TMYx.2009-2023.zip")</f>
        <v>https://climate.onebuilding.org/WMO_Region_4_North_and_Central_America/BHS_Bahamas/BHS_IN_Matthew.Town-Inagua.Island.781200_TMYx.2009-2023.zip</v>
      </c>
    </row>
    <row r="98" spans="1:10" x14ac:dyDescent="0.25">
      <c r="A98" t="s">
        <v>32</v>
      </c>
      <c r="B98" t="s">
        <v>72</v>
      </c>
      <c r="C98" t="s">
        <v>73</v>
      </c>
      <c r="D98">
        <v>781200</v>
      </c>
      <c r="E98" t="s">
        <v>18</v>
      </c>
      <c r="F98">
        <v>20.95</v>
      </c>
      <c r="G98">
        <v>-73.650000000000006</v>
      </c>
      <c r="H98">
        <v>-5</v>
      </c>
      <c r="I98">
        <v>3</v>
      </c>
      <c r="J98" t="str">
        <f>HYPERLINK("https://climate.onebuilding.org/WMO_Region_4_North_and_Central_America/BHS_Bahamas/BHS_IN_Matthew.Town-Inagua.Island.781200_TMYx.zip")</f>
        <v>https://climate.onebuilding.org/WMO_Region_4_North_and_Central_America/BHS_Bahamas/BHS_IN_Matthew.Town-Inagua.Island.781200_TMYx.zip</v>
      </c>
    </row>
    <row r="99" spans="1:10" x14ac:dyDescent="0.25">
      <c r="A99" t="s">
        <v>32</v>
      </c>
      <c r="B99" t="s">
        <v>72</v>
      </c>
      <c r="C99" t="s">
        <v>74</v>
      </c>
      <c r="D99">
        <v>781210</v>
      </c>
      <c r="E99" t="s">
        <v>18</v>
      </c>
      <c r="F99">
        <v>20.975000000000001</v>
      </c>
      <c r="G99">
        <v>-73.667000000000002</v>
      </c>
      <c r="H99">
        <v>-5</v>
      </c>
      <c r="I99">
        <v>2.4</v>
      </c>
      <c r="J99" t="str">
        <f>HYPERLINK("https://climate.onebuilding.org/WMO_Region_4_North_and_Central_America/BHS_Bahamas/BHS_IN_Matthew.Town.AP.781210_TMYx.2007-2021.zip")</f>
        <v>https://climate.onebuilding.org/WMO_Region_4_North_and_Central_America/BHS_Bahamas/BHS_IN_Matthew.Town.AP.781210_TMYx.2007-2021.zip</v>
      </c>
    </row>
    <row r="100" spans="1:10" x14ac:dyDescent="0.25">
      <c r="A100" t="s">
        <v>32</v>
      </c>
      <c r="B100" t="s">
        <v>72</v>
      </c>
      <c r="C100" t="s">
        <v>74</v>
      </c>
      <c r="D100">
        <v>781210</v>
      </c>
      <c r="E100" t="s">
        <v>18</v>
      </c>
      <c r="F100">
        <v>20.975000000000001</v>
      </c>
      <c r="G100">
        <v>-73.667000000000002</v>
      </c>
      <c r="H100">
        <v>-5</v>
      </c>
      <c r="I100">
        <v>2.4</v>
      </c>
      <c r="J100" t="str">
        <f>HYPERLINK("https://climate.onebuilding.org/WMO_Region_4_North_and_Central_America/BHS_Bahamas/BHS_IN_Matthew.Town.AP.781210_TMYx.2009-2023.zip")</f>
        <v>https://climate.onebuilding.org/WMO_Region_4_North_and_Central_America/BHS_Bahamas/BHS_IN_Matthew.Town.AP.781210_TMYx.2009-2023.zip</v>
      </c>
    </row>
    <row r="101" spans="1:10" x14ac:dyDescent="0.25">
      <c r="A101" t="s">
        <v>32</v>
      </c>
      <c r="B101" t="s">
        <v>72</v>
      </c>
      <c r="C101" t="s">
        <v>74</v>
      </c>
      <c r="D101">
        <v>781210</v>
      </c>
      <c r="E101" t="s">
        <v>18</v>
      </c>
      <c r="F101">
        <v>20.975000000000001</v>
      </c>
      <c r="G101">
        <v>-73.667000000000002</v>
      </c>
      <c r="H101">
        <v>-5</v>
      </c>
      <c r="I101">
        <v>2.4</v>
      </c>
      <c r="J101" t="str">
        <f>HYPERLINK("https://climate.onebuilding.org/WMO_Region_4_North_and_Central_America/BHS_Bahamas/BHS_IN_Matthew.Town.AP.781210_TMYx.zip")</f>
        <v>https://climate.onebuilding.org/WMO_Region_4_North_and_Central_America/BHS_Bahamas/BHS_IN_Matthew.Town.AP.781210_TMYx.zip</v>
      </c>
    </row>
    <row r="102" spans="1:10" x14ac:dyDescent="0.25">
      <c r="A102" t="s">
        <v>32</v>
      </c>
      <c r="B102" t="s">
        <v>33</v>
      </c>
      <c r="C102" t="s">
        <v>34</v>
      </c>
      <c r="D102">
        <v>994390</v>
      </c>
      <c r="E102" t="s">
        <v>10</v>
      </c>
      <c r="F102">
        <v>26.704499999999999</v>
      </c>
      <c r="G102">
        <v>-78.994699999999995</v>
      </c>
      <c r="H102">
        <v>-5</v>
      </c>
      <c r="I102">
        <v>1.5</v>
      </c>
      <c r="J102" t="str">
        <f>HYPERLINK("https://climate.onebuilding.org/WMO_Region_4_North_and_Central_America/BHS_Bahamas/BHS_WB_West.End.Intl.AP.994390_TMYx.2007-2021.zip")</f>
        <v>https://climate.onebuilding.org/WMO_Region_4_North_and_Central_America/BHS_Bahamas/BHS_WB_West.End.Intl.AP.994390_TMYx.2007-2021.zip</v>
      </c>
    </row>
    <row r="103" spans="1:10" x14ac:dyDescent="0.25">
      <c r="A103" t="s">
        <v>32</v>
      </c>
      <c r="B103" t="s">
        <v>33</v>
      </c>
      <c r="C103" t="s">
        <v>34</v>
      </c>
      <c r="D103">
        <v>994390</v>
      </c>
      <c r="E103" t="s">
        <v>10</v>
      </c>
      <c r="F103">
        <v>26.704499999999999</v>
      </c>
      <c r="G103">
        <v>-78.994699999999995</v>
      </c>
      <c r="H103">
        <v>-5</v>
      </c>
      <c r="I103">
        <v>1.5</v>
      </c>
      <c r="J103" t="str">
        <f>HYPERLINK("https://climate.onebuilding.org/WMO_Region_4_North_and_Central_America/BHS_Bahamas/BHS_WB_West.End.Intl.AP.994390_TMYx.2009-2023.zip")</f>
        <v>https://climate.onebuilding.org/WMO_Region_4_North_and_Central_America/BHS_Bahamas/BHS_WB_West.End.Intl.AP.994390_TMYx.2009-2023.zip</v>
      </c>
    </row>
    <row r="104" spans="1:10" x14ac:dyDescent="0.25">
      <c r="A104" t="s">
        <v>32</v>
      </c>
      <c r="B104" t="s">
        <v>33</v>
      </c>
      <c r="C104" t="s">
        <v>34</v>
      </c>
      <c r="D104">
        <v>994390</v>
      </c>
      <c r="E104" t="s">
        <v>10</v>
      </c>
      <c r="F104">
        <v>26.704499999999999</v>
      </c>
      <c r="G104">
        <v>-78.994699999999995</v>
      </c>
      <c r="H104">
        <v>-5</v>
      </c>
      <c r="I104">
        <v>1.5</v>
      </c>
      <c r="J104" t="str">
        <f>HYPERLINK("https://climate.onebuilding.org/WMO_Region_4_North_and_Central_America/BHS_Bahamas/BHS_WB_West.End.Intl.AP.994390_TMYx.zip")</f>
        <v>https://climate.onebuilding.org/WMO_Region_4_North_and_Central_America/BHS_Bahamas/BHS_WB_West.End.Intl.AP.994390_TMYx.zip</v>
      </c>
    </row>
    <row r="105" spans="1:10" x14ac:dyDescent="0.25">
      <c r="A105" t="s">
        <v>75</v>
      </c>
      <c r="B105" t="s">
        <v>76</v>
      </c>
      <c r="C105" t="s">
        <v>77</v>
      </c>
      <c r="D105">
        <v>788940</v>
      </c>
      <c r="E105" t="s">
        <v>10</v>
      </c>
      <c r="F105">
        <v>17.907</v>
      </c>
      <c r="G105">
        <v>-62.829000000000001</v>
      </c>
      <c r="H105">
        <v>-4</v>
      </c>
      <c r="I105">
        <v>45</v>
      </c>
      <c r="J105" t="str">
        <f>HYPERLINK("https://climate.onebuilding.org/WMO_Region_4_North_and_Central_America/BLM_Saint_Barthelemy/BLM_SB_Gustavia.788940_TMYx.zip")</f>
        <v>https://climate.onebuilding.org/WMO_Region_4_North_and_Central_America/BLM_Saint_Barthelemy/BLM_SB_Gustavia.788940_TMYx.zip</v>
      </c>
    </row>
    <row r="106" spans="1:10" x14ac:dyDescent="0.25">
      <c r="A106" t="s">
        <v>78</v>
      </c>
      <c r="B106" t="s">
        <v>79</v>
      </c>
      <c r="C106" t="s">
        <v>80</v>
      </c>
      <c r="D106">
        <v>785830</v>
      </c>
      <c r="E106" t="s">
        <v>81</v>
      </c>
      <c r="F106">
        <v>17.539000000000001</v>
      </c>
      <c r="G106">
        <v>-88.308000000000007</v>
      </c>
      <c r="H106">
        <v>-6</v>
      </c>
      <c r="I106">
        <v>4.5999999999999996</v>
      </c>
      <c r="J106" t="str">
        <f>HYPERLINK("https://climate.onebuilding.org/WMO_Region_4_North_and_Central_America/BLZ_Belize/BLZ_BZ_Belize.City-Goldson.Intl.AP.785830_TMYx.2004-2018.zip")</f>
        <v>https://climate.onebuilding.org/WMO_Region_4_North_and_Central_America/BLZ_Belize/BLZ_BZ_Belize.City-Goldson.Intl.AP.785830_TMYx.2004-2018.zip</v>
      </c>
    </row>
    <row r="107" spans="1:10" x14ac:dyDescent="0.25">
      <c r="A107" t="s">
        <v>78</v>
      </c>
      <c r="B107" t="s">
        <v>79</v>
      </c>
      <c r="C107" t="s">
        <v>80</v>
      </c>
      <c r="D107">
        <v>785830</v>
      </c>
      <c r="E107" t="s">
        <v>10</v>
      </c>
      <c r="F107">
        <v>17.539000000000001</v>
      </c>
      <c r="G107">
        <v>-88.308000000000007</v>
      </c>
      <c r="H107">
        <v>-6</v>
      </c>
      <c r="I107">
        <v>4.5999999999999996</v>
      </c>
      <c r="J107" t="str">
        <f>HYPERLINK("https://climate.onebuilding.org/WMO_Region_4_North_and_Central_America/BLZ_Belize/BLZ_BZ_Belize.City-Goldson.Intl.AP.785830_TMYx.2007-2021.zip")</f>
        <v>https://climate.onebuilding.org/WMO_Region_4_North_and_Central_America/BLZ_Belize/BLZ_BZ_Belize.City-Goldson.Intl.AP.785830_TMYx.2007-2021.zip</v>
      </c>
    </row>
    <row r="108" spans="1:10" x14ac:dyDescent="0.25">
      <c r="A108" t="s">
        <v>78</v>
      </c>
      <c r="B108" t="s">
        <v>79</v>
      </c>
      <c r="C108" t="s">
        <v>80</v>
      </c>
      <c r="D108">
        <v>785830</v>
      </c>
      <c r="E108" t="s">
        <v>10</v>
      </c>
      <c r="F108">
        <v>17.539000000000001</v>
      </c>
      <c r="G108">
        <v>-88.308000000000007</v>
      </c>
      <c r="H108">
        <v>-6</v>
      </c>
      <c r="I108">
        <v>4.5999999999999996</v>
      </c>
      <c r="J108" t="str">
        <f>HYPERLINK("https://climate.onebuilding.org/WMO_Region_4_North_and_Central_America/BLZ_Belize/BLZ_BZ_Belize.City-Goldson.Intl.AP.785830_TMYx.2009-2023.zip")</f>
        <v>https://climate.onebuilding.org/WMO_Region_4_North_and_Central_America/BLZ_Belize/BLZ_BZ_Belize.City-Goldson.Intl.AP.785830_TMYx.2009-2023.zip</v>
      </c>
    </row>
    <row r="109" spans="1:10" x14ac:dyDescent="0.25">
      <c r="A109" t="s">
        <v>78</v>
      </c>
      <c r="B109" t="s">
        <v>79</v>
      </c>
      <c r="C109" t="s">
        <v>80</v>
      </c>
      <c r="D109">
        <v>785830</v>
      </c>
      <c r="E109" t="s">
        <v>10</v>
      </c>
      <c r="F109">
        <v>17.539000000000001</v>
      </c>
      <c r="G109">
        <v>-88.308000000000007</v>
      </c>
      <c r="H109">
        <v>-6</v>
      </c>
      <c r="I109">
        <v>4.5999999999999996</v>
      </c>
      <c r="J109" t="str">
        <f>HYPERLINK("https://climate.onebuilding.org/WMO_Region_4_North_and_Central_America/BLZ_Belize/BLZ_BZ_Belize.City-Goldson.Intl.AP.785830_TMYx.zip")</f>
        <v>https://climate.onebuilding.org/WMO_Region_4_North_and_Central_America/BLZ_Belize/BLZ_BZ_Belize.City-Goldson.Intl.AP.785830_TMYx.zip</v>
      </c>
    </row>
    <row r="110" spans="1:10" x14ac:dyDescent="0.25">
      <c r="A110" t="s">
        <v>78</v>
      </c>
      <c r="B110" t="s">
        <v>79</v>
      </c>
      <c r="C110" t="s">
        <v>82</v>
      </c>
      <c r="D110">
        <v>785840</v>
      </c>
      <c r="E110" t="s">
        <v>18</v>
      </c>
      <c r="F110">
        <v>17.516999999999999</v>
      </c>
      <c r="G110">
        <v>-88.2</v>
      </c>
      <c r="H110">
        <v>-6</v>
      </c>
      <c r="I110">
        <v>1</v>
      </c>
      <c r="J110" t="str">
        <f>HYPERLINK("https://climate.onebuilding.org/WMO_Region_4_North_and_Central_America/BLZ_Belize/BLZ_BZ_Belize.City.Muni.AP.785840_TMYx.2007-2021.zip")</f>
        <v>https://climate.onebuilding.org/WMO_Region_4_North_and_Central_America/BLZ_Belize/BLZ_BZ_Belize.City.Muni.AP.785840_TMYx.2007-2021.zip</v>
      </c>
    </row>
    <row r="111" spans="1:10" x14ac:dyDescent="0.25">
      <c r="A111" t="s">
        <v>78</v>
      </c>
      <c r="B111" t="s">
        <v>79</v>
      </c>
      <c r="C111" t="s">
        <v>82</v>
      </c>
      <c r="D111">
        <v>785840</v>
      </c>
      <c r="E111" t="s">
        <v>18</v>
      </c>
      <c r="F111">
        <v>17.516999999999999</v>
      </c>
      <c r="G111">
        <v>-88.2</v>
      </c>
      <c r="H111">
        <v>-6</v>
      </c>
      <c r="I111">
        <v>1</v>
      </c>
      <c r="J111" t="str">
        <f>HYPERLINK("https://climate.onebuilding.org/WMO_Region_4_North_and_Central_America/BLZ_Belize/BLZ_BZ_Belize.City.Muni.AP.785840_TMYx.2009-2023.zip")</f>
        <v>https://climate.onebuilding.org/WMO_Region_4_North_and_Central_America/BLZ_Belize/BLZ_BZ_Belize.City.Muni.AP.785840_TMYx.2009-2023.zip</v>
      </c>
    </row>
    <row r="112" spans="1:10" x14ac:dyDescent="0.25">
      <c r="A112" t="s">
        <v>78</v>
      </c>
      <c r="B112" t="s">
        <v>79</v>
      </c>
      <c r="C112" t="s">
        <v>82</v>
      </c>
      <c r="D112">
        <v>785840</v>
      </c>
      <c r="E112" t="s">
        <v>18</v>
      </c>
      <c r="F112">
        <v>17.516999999999999</v>
      </c>
      <c r="G112">
        <v>-88.2</v>
      </c>
      <c r="H112">
        <v>-6</v>
      </c>
      <c r="I112">
        <v>1</v>
      </c>
      <c r="J112" t="str">
        <f>HYPERLINK("https://climate.onebuilding.org/WMO_Region_4_North_and_Central_America/BLZ_Belize/BLZ_BZ_Belize.City.Muni.AP.785840_TMYx.zip")</f>
        <v>https://climate.onebuilding.org/WMO_Region_4_North_and_Central_America/BLZ_Belize/BLZ_BZ_Belize.City.Muni.AP.785840_TMYx.zip</v>
      </c>
    </row>
    <row r="113" spans="1:10" x14ac:dyDescent="0.25">
      <c r="A113" t="s">
        <v>78</v>
      </c>
      <c r="B113" t="s">
        <v>79</v>
      </c>
      <c r="C113" t="s">
        <v>83</v>
      </c>
      <c r="D113">
        <v>785880</v>
      </c>
      <c r="E113" t="s">
        <v>18</v>
      </c>
      <c r="F113">
        <v>17.204999999999998</v>
      </c>
      <c r="G113">
        <v>-87.536000000000001</v>
      </c>
      <c r="H113">
        <v>-6</v>
      </c>
      <c r="I113">
        <v>0</v>
      </c>
      <c r="J113" t="str">
        <f>HYPERLINK("https://climate.onebuilding.org/WMO_Region_4_North_and_Central_America/BLZ_Belize/BLZ_BZ_Half.Moon.Caye.785880_TMYx.2007-2021.zip")</f>
        <v>https://climate.onebuilding.org/WMO_Region_4_North_and_Central_America/BLZ_Belize/BLZ_BZ_Half.Moon.Caye.785880_TMYx.2007-2021.zip</v>
      </c>
    </row>
    <row r="114" spans="1:10" x14ac:dyDescent="0.25">
      <c r="A114" t="s">
        <v>78</v>
      </c>
      <c r="B114" t="s">
        <v>79</v>
      </c>
      <c r="C114" t="s">
        <v>83</v>
      </c>
      <c r="D114">
        <v>785880</v>
      </c>
      <c r="E114" t="s">
        <v>18</v>
      </c>
      <c r="F114">
        <v>17.204999999999998</v>
      </c>
      <c r="G114">
        <v>-87.536000000000001</v>
      </c>
      <c r="H114">
        <v>-6</v>
      </c>
      <c r="I114">
        <v>0</v>
      </c>
      <c r="J114" t="str">
        <f>HYPERLINK("https://climate.onebuilding.org/WMO_Region_4_North_and_Central_America/BLZ_Belize/BLZ_BZ_Half.Moon.Caye.785880_TMYx.2009-2023.zip")</f>
        <v>https://climate.onebuilding.org/WMO_Region_4_North_and_Central_America/BLZ_Belize/BLZ_BZ_Half.Moon.Caye.785880_TMYx.2009-2023.zip</v>
      </c>
    </row>
    <row r="115" spans="1:10" x14ac:dyDescent="0.25">
      <c r="A115" t="s">
        <v>78</v>
      </c>
      <c r="B115" t="s">
        <v>79</v>
      </c>
      <c r="C115" t="s">
        <v>83</v>
      </c>
      <c r="D115">
        <v>785880</v>
      </c>
      <c r="E115" t="s">
        <v>18</v>
      </c>
      <c r="F115">
        <v>17.204999999999998</v>
      </c>
      <c r="G115">
        <v>-87.536000000000001</v>
      </c>
      <c r="H115">
        <v>-6</v>
      </c>
      <c r="I115">
        <v>0</v>
      </c>
      <c r="J115" t="str">
        <f>HYPERLINK("https://climate.onebuilding.org/WMO_Region_4_North_and_Central_America/BLZ_Belize/BLZ_BZ_Half.Moon.Caye.785880_TMYx.zip")</f>
        <v>https://climate.onebuilding.org/WMO_Region_4_North_and_Central_America/BLZ_Belize/BLZ_BZ_Half.Moon.Caye.785880_TMYx.zip</v>
      </c>
    </row>
    <row r="116" spans="1:10" x14ac:dyDescent="0.25">
      <c r="A116" t="s">
        <v>78</v>
      </c>
      <c r="B116" t="s">
        <v>84</v>
      </c>
      <c r="C116" t="s">
        <v>85</v>
      </c>
      <c r="D116">
        <v>785960</v>
      </c>
      <c r="E116" t="s">
        <v>18</v>
      </c>
      <c r="F116">
        <v>16.100000000000001</v>
      </c>
      <c r="G116">
        <v>-88.25</v>
      </c>
      <c r="H116">
        <v>-6</v>
      </c>
      <c r="I116">
        <v>0</v>
      </c>
      <c r="J116" t="str">
        <f>HYPERLINK("https://climate.onebuilding.org/WMO_Region_4_North_and_Central_America/BLZ_Belize/BLZ_TOL_Hunting.Caye.785960_TMYx.2007-2021.zip")</f>
        <v>https://climate.onebuilding.org/WMO_Region_4_North_and_Central_America/BLZ_Belize/BLZ_TOL_Hunting.Caye.785960_TMYx.2007-2021.zip</v>
      </c>
    </row>
    <row r="117" spans="1:10" x14ac:dyDescent="0.25">
      <c r="A117" t="s">
        <v>78</v>
      </c>
      <c r="B117" t="s">
        <v>84</v>
      </c>
      <c r="C117" t="s">
        <v>85</v>
      </c>
      <c r="D117">
        <v>785960</v>
      </c>
      <c r="E117" t="s">
        <v>18</v>
      </c>
      <c r="F117">
        <v>16.100000000000001</v>
      </c>
      <c r="G117">
        <v>-88.25</v>
      </c>
      <c r="H117">
        <v>-6</v>
      </c>
      <c r="I117">
        <v>0</v>
      </c>
      <c r="J117" t="str">
        <f>HYPERLINK("https://climate.onebuilding.org/WMO_Region_4_North_and_Central_America/BLZ_Belize/BLZ_TOL_Hunting.Caye.785960_TMYx.2009-2023.zip")</f>
        <v>https://climate.onebuilding.org/WMO_Region_4_North_and_Central_America/BLZ_Belize/BLZ_TOL_Hunting.Caye.785960_TMYx.2009-2023.zip</v>
      </c>
    </row>
    <row r="118" spans="1:10" x14ac:dyDescent="0.25">
      <c r="A118" t="s">
        <v>78</v>
      </c>
      <c r="B118" t="s">
        <v>84</v>
      </c>
      <c r="C118" t="s">
        <v>85</v>
      </c>
      <c r="D118">
        <v>785960</v>
      </c>
      <c r="E118" t="s">
        <v>18</v>
      </c>
      <c r="F118">
        <v>16.100000000000001</v>
      </c>
      <c r="G118">
        <v>-88.25</v>
      </c>
      <c r="H118">
        <v>-6</v>
      </c>
      <c r="I118">
        <v>0</v>
      </c>
      <c r="J118" t="str">
        <f>HYPERLINK("https://climate.onebuilding.org/WMO_Region_4_North_and_Central_America/BLZ_Belize/BLZ_TOL_Hunting.Caye.785960_TMYx.zip")</f>
        <v>https://climate.onebuilding.org/WMO_Region_4_North_and_Central_America/BLZ_Belize/BLZ_TOL_Hunting.Caye.785960_TMYx.zip</v>
      </c>
    </row>
    <row r="119" spans="1:10" x14ac:dyDescent="0.25">
      <c r="A119" t="s">
        <v>86</v>
      </c>
      <c r="B119" t="s">
        <v>87</v>
      </c>
      <c r="C119" t="s">
        <v>88</v>
      </c>
      <c r="D119">
        <v>749066</v>
      </c>
      <c r="E119" t="s">
        <v>18</v>
      </c>
      <c r="F119">
        <v>32.270319999999998</v>
      </c>
      <c r="G119">
        <v>-64.851519999999994</v>
      </c>
      <c r="H119">
        <v>-4</v>
      </c>
      <c r="I119">
        <v>13</v>
      </c>
      <c r="J119" t="str">
        <f>HYPERLINK("https://climate.onebuilding.org/WMO_Region_4_North_and_Central_America/BMU_Bermuda/BMU_SA_Little.Sound-Bermuda.NAS.Annex.749066_TMYx.2007-2021.zip")</f>
        <v>https://climate.onebuilding.org/WMO_Region_4_North_and_Central_America/BMU_Bermuda/BMU_SA_Little.Sound-Bermuda.NAS.Annex.749066_TMYx.2007-2021.zip</v>
      </c>
    </row>
    <row r="120" spans="1:10" x14ac:dyDescent="0.25">
      <c r="A120" t="s">
        <v>86</v>
      </c>
      <c r="B120" t="s">
        <v>87</v>
      </c>
      <c r="C120" t="s">
        <v>88</v>
      </c>
      <c r="D120">
        <v>749066</v>
      </c>
      <c r="E120" t="s">
        <v>18</v>
      </c>
      <c r="F120">
        <v>32.270319999999998</v>
      </c>
      <c r="G120">
        <v>-64.851519999999994</v>
      </c>
      <c r="H120">
        <v>-4</v>
      </c>
      <c r="I120">
        <v>13</v>
      </c>
      <c r="J120" t="str">
        <f>HYPERLINK("https://climate.onebuilding.org/WMO_Region_4_North_and_Central_America/BMU_Bermuda/BMU_SA_Little.Sound-Bermuda.NAS.Annex.749066_TMYx.2009-2023.zip")</f>
        <v>https://climate.onebuilding.org/WMO_Region_4_North_and_Central_America/BMU_Bermuda/BMU_SA_Little.Sound-Bermuda.NAS.Annex.749066_TMYx.2009-2023.zip</v>
      </c>
    </row>
    <row r="121" spans="1:10" x14ac:dyDescent="0.25">
      <c r="A121" t="s">
        <v>86</v>
      </c>
      <c r="B121" t="s">
        <v>87</v>
      </c>
      <c r="C121" t="s">
        <v>88</v>
      </c>
      <c r="D121">
        <v>749066</v>
      </c>
      <c r="E121" t="s">
        <v>18</v>
      </c>
      <c r="F121">
        <v>32.270319999999998</v>
      </c>
      <c r="G121">
        <v>-64.851519999999994</v>
      </c>
      <c r="H121">
        <v>-4</v>
      </c>
      <c r="I121">
        <v>13</v>
      </c>
      <c r="J121" t="str">
        <f>HYPERLINK("https://climate.onebuilding.org/WMO_Region_4_North_and_Central_America/BMU_Bermuda/BMU_SA_Little.Sound-Bermuda.NAS.Annex.749066_TMYx.zip")</f>
        <v>https://climate.onebuilding.org/WMO_Region_4_North_and_Central_America/BMU_Bermuda/BMU_SA_Little.Sound-Bermuda.NAS.Annex.749066_TMYx.zip</v>
      </c>
    </row>
    <row r="122" spans="1:10" x14ac:dyDescent="0.25">
      <c r="A122" t="s">
        <v>86</v>
      </c>
      <c r="B122" t="s">
        <v>89</v>
      </c>
      <c r="C122" t="s">
        <v>90</v>
      </c>
      <c r="D122">
        <v>780160</v>
      </c>
      <c r="E122" t="s">
        <v>91</v>
      </c>
      <c r="F122">
        <v>32.36</v>
      </c>
      <c r="G122">
        <v>-64.67</v>
      </c>
      <c r="H122">
        <v>-4</v>
      </c>
      <c r="I122">
        <v>4</v>
      </c>
      <c r="J122" t="str">
        <f>HYPERLINK("https://climate.onebuilding.org/WMO_Region_4_North_and_Central_America/BMU_Bermuda/BMU_SC_Saint.George-Wade.Intl.AP.780160_TMYx.2004-2018.zip")</f>
        <v>https://climate.onebuilding.org/WMO_Region_4_North_and_Central_America/BMU_Bermuda/BMU_SC_Saint.George-Wade.Intl.AP.780160_TMYx.2004-2018.zip</v>
      </c>
    </row>
    <row r="123" spans="1:10" x14ac:dyDescent="0.25">
      <c r="A123" t="s">
        <v>86</v>
      </c>
      <c r="B123" t="s">
        <v>89</v>
      </c>
      <c r="C123" t="s">
        <v>90</v>
      </c>
      <c r="D123">
        <v>780160</v>
      </c>
      <c r="E123" t="s">
        <v>10</v>
      </c>
      <c r="F123">
        <v>32.366900000000001</v>
      </c>
      <c r="G123">
        <v>-64.677199999999999</v>
      </c>
      <c r="H123">
        <v>-4</v>
      </c>
      <c r="I123">
        <v>4</v>
      </c>
      <c r="J123" t="str">
        <f>HYPERLINK("https://climate.onebuilding.org/WMO_Region_4_North_and_Central_America/BMU_Bermuda/BMU_SC_Saint.George-Wade.Intl.AP.780160_TMYx.2007-2021.zip")</f>
        <v>https://climate.onebuilding.org/WMO_Region_4_North_and_Central_America/BMU_Bermuda/BMU_SC_Saint.George-Wade.Intl.AP.780160_TMYx.2007-2021.zip</v>
      </c>
    </row>
    <row r="124" spans="1:10" x14ac:dyDescent="0.25">
      <c r="A124" t="s">
        <v>86</v>
      </c>
      <c r="B124" t="s">
        <v>89</v>
      </c>
      <c r="C124" t="s">
        <v>90</v>
      </c>
      <c r="D124">
        <v>780160</v>
      </c>
      <c r="E124" t="s">
        <v>10</v>
      </c>
      <c r="F124">
        <v>32.366900000000001</v>
      </c>
      <c r="G124">
        <v>-64.677199999999999</v>
      </c>
      <c r="H124">
        <v>-4</v>
      </c>
      <c r="I124">
        <v>4</v>
      </c>
      <c r="J124" t="str">
        <f>HYPERLINK("https://climate.onebuilding.org/WMO_Region_4_North_and_Central_America/BMU_Bermuda/BMU_SC_Saint.George-Wade.Intl.AP.780160_TMYx.2009-2023.zip")</f>
        <v>https://climate.onebuilding.org/WMO_Region_4_North_and_Central_America/BMU_Bermuda/BMU_SC_Saint.George-Wade.Intl.AP.780160_TMYx.2009-2023.zip</v>
      </c>
    </row>
    <row r="125" spans="1:10" x14ac:dyDescent="0.25">
      <c r="A125" t="s">
        <v>86</v>
      </c>
      <c r="B125" t="s">
        <v>89</v>
      </c>
      <c r="C125" t="s">
        <v>90</v>
      </c>
      <c r="D125">
        <v>780160</v>
      </c>
      <c r="E125" t="s">
        <v>10</v>
      </c>
      <c r="F125">
        <v>32.366900000000001</v>
      </c>
      <c r="G125">
        <v>-64.677199999999999</v>
      </c>
      <c r="H125">
        <v>-4</v>
      </c>
      <c r="I125">
        <v>4</v>
      </c>
      <c r="J125" t="str">
        <f>HYPERLINK("https://climate.onebuilding.org/WMO_Region_4_North_and_Central_America/BMU_Bermuda/BMU_SC_Saint.George-Wade.Intl.AP.780160_TMYx.zip")</f>
        <v>https://climate.onebuilding.org/WMO_Region_4_North_and_Central_America/BMU_Bermuda/BMU_SC_Saint.George-Wade.Intl.AP.780160_TMYx.zip</v>
      </c>
    </row>
    <row r="126" spans="1:10" x14ac:dyDescent="0.25">
      <c r="A126" t="s">
        <v>86</v>
      </c>
      <c r="B126" t="s">
        <v>89</v>
      </c>
      <c r="C126" t="s">
        <v>92</v>
      </c>
      <c r="D126">
        <v>998170</v>
      </c>
      <c r="E126" t="s">
        <v>93</v>
      </c>
      <c r="F126">
        <v>32.366999999999997</v>
      </c>
      <c r="G126">
        <v>-64.7</v>
      </c>
      <c r="H126">
        <v>-4</v>
      </c>
      <c r="I126">
        <v>2</v>
      </c>
      <c r="J126" t="str">
        <f>HYPERLINK("https://climate.onebuilding.org/WMO_Region_4_North_and_Central_America/BMU_Bermuda/BMU_SC_Esso.Pier.998170_TMYx.2004-2018.zip")</f>
        <v>https://climate.onebuilding.org/WMO_Region_4_North_and_Central_America/BMU_Bermuda/BMU_SC_Esso.Pier.998170_TMYx.2004-2018.zip</v>
      </c>
    </row>
    <row r="127" spans="1:10" x14ac:dyDescent="0.25">
      <c r="A127" t="s">
        <v>86</v>
      </c>
      <c r="B127" t="s">
        <v>89</v>
      </c>
      <c r="C127" t="s">
        <v>92</v>
      </c>
      <c r="D127">
        <v>998170</v>
      </c>
      <c r="E127" t="s">
        <v>10</v>
      </c>
      <c r="F127">
        <v>32.3735</v>
      </c>
      <c r="G127">
        <v>-64.701070000000001</v>
      </c>
      <c r="H127">
        <v>-4</v>
      </c>
      <c r="I127">
        <v>2</v>
      </c>
      <c r="J127" t="str">
        <f>HYPERLINK("https://climate.onebuilding.org/WMO_Region_4_North_and_Central_America/BMU_Bermuda/BMU_SC_Esso.Pier.998170_TMYx.2007-2021.zip")</f>
        <v>https://climate.onebuilding.org/WMO_Region_4_North_and_Central_America/BMU_Bermuda/BMU_SC_Esso.Pier.998170_TMYx.2007-2021.zip</v>
      </c>
    </row>
    <row r="128" spans="1:10" x14ac:dyDescent="0.25">
      <c r="A128" t="s">
        <v>86</v>
      </c>
      <c r="B128" t="s">
        <v>89</v>
      </c>
      <c r="C128" t="s">
        <v>92</v>
      </c>
      <c r="D128">
        <v>998170</v>
      </c>
      <c r="E128" t="s">
        <v>10</v>
      </c>
      <c r="F128">
        <v>32.3735</v>
      </c>
      <c r="G128">
        <v>-64.701070000000001</v>
      </c>
      <c r="H128">
        <v>-4</v>
      </c>
      <c r="I128">
        <v>2</v>
      </c>
      <c r="J128" t="str">
        <f>HYPERLINK("https://climate.onebuilding.org/WMO_Region_4_North_and_Central_America/BMU_Bermuda/BMU_SC_Esso.Pier.998170_TMYx.2009-2023.zip")</f>
        <v>https://climate.onebuilding.org/WMO_Region_4_North_and_Central_America/BMU_Bermuda/BMU_SC_Esso.Pier.998170_TMYx.2009-2023.zip</v>
      </c>
    </row>
    <row r="129" spans="1:10" x14ac:dyDescent="0.25">
      <c r="A129" t="s">
        <v>86</v>
      </c>
      <c r="B129" t="s">
        <v>89</v>
      </c>
      <c r="C129" t="s">
        <v>92</v>
      </c>
      <c r="D129">
        <v>998170</v>
      </c>
      <c r="E129" t="s">
        <v>10</v>
      </c>
      <c r="F129">
        <v>32.3735</v>
      </c>
      <c r="G129">
        <v>-64.701070000000001</v>
      </c>
      <c r="H129">
        <v>-4</v>
      </c>
      <c r="I129">
        <v>2</v>
      </c>
      <c r="J129" t="str">
        <f>HYPERLINK("https://climate.onebuilding.org/WMO_Region_4_North_and_Central_America/BMU_Bermuda/BMU_SC_Esso.Pier.998170_TMYx.zip")</f>
        <v>https://climate.onebuilding.org/WMO_Region_4_North_and_Central_America/BMU_Bermuda/BMU_SC_Esso.Pier.998170_TMYx.zip</v>
      </c>
    </row>
    <row r="130" spans="1:10" x14ac:dyDescent="0.25">
      <c r="A130" t="s">
        <v>94</v>
      </c>
      <c r="B130" t="s">
        <v>95</v>
      </c>
      <c r="C130" t="s">
        <v>96</v>
      </c>
      <c r="D130">
        <v>789540</v>
      </c>
      <c r="E130" t="s">
        <v>97</v>
      </c>
      <c r="F130">
        <v>13.074999999999999</v>
      </c>
      <c r="G130">
        <v>-59.491999999999997</v>
      </c>
      <c r="H130">
        <v>-4</v>
      </c>
      <c r="I130">
        <v>51.5</v>
      </c>
      <c r="J130" t="str">
        <f>HYPERLINK("https://climate.onebuilding.org/WMO_Region_4_North_and_Central_America/BRB_Barbados/BRB_CC_Seawell-Adams.Intl.AP.789540_TMYx.2004-2018.zip")</f>
        <v>https://climate.onebuilding.org/WMO_Region_4_North_and_Central_America/BRB_Barbados/BRB_CC_Seawell-Adams.Intl.AP.789540_TMYx.2004-2018.zip</v>
      </c>
    </row>
    <row r="131" spans="1:10" x14ac:dyDescent="0.25">
      <c r="A131" t="s">
        <v>94</v>
      </c>
      <c r="B131" t="s">
        <v>95</v>
      </c>
      <c r="C131" t="s">
        <v>96</v>
      </c>
      <c r="D131">
        <v>789540</v>
      </c>
      <c r="E131" t="s">
        <v>10</v>
      </c>
      <c r="F131">
        <v>13.0853</v>
      </c>
      <c r="G131">
        <v>-59.487299999999998</v>
      </c>
      <c r="H131">
        <v>-4</v>
      </c>
      <c r="I131">
        <v>51.5</v>
      </c>
      <c r="J131" t="str">
        <f>HYPERLINK("https://climate.onebuilding.org/WMO_Region_4_North_and_Central_America/BRB_Barbados/BRB_CC_Seawell-Adams.Intl.AP.789540_TMYx.2007-2021.zip")</f>
        <v>https://climate.onebuilding.org/WMO_Region_4_North_and_Central_America/BRB_Barbados/BRB_CC_Seawell-Adams.Intl.AP.789540_TMYx.2007-2021.zip</v>
      </c>
    </row>
    <row r="132" spans="1:10" x14ac:dyDescent="0.25">
      <c r="A132" t="s">
        <v>94</v>
      </c>
      <c r="B132" t="s">
        <v>95</v>
      </c>
      <c r="C132" t="s">
        <v>96</v>
      </c>
      <c r="D132">
        <v>789540</v>
      </c>
      <c r="E132" t="s">
        <v>10</v>
      </c>
      <c r="F132">
        <v>13.0853</v>
      </c>
      <c r="G132">
        <v>-59.487299999999998</v>
      </c>
      <c r="H132">
        <v>-4</v>
      </c>
      <c r="I132">
        <v>51.5</v>
      </c>
      <c r="J132" t="str">
        <f>HYPERLINK("https://climate.onebuilding.org/WMO_Region_4_North_and_Central_America/BRB_Barbados/BRB_CC_Seawell-Adams.Intl.AP.789540_TMYx.2009-2023.zip")</f>
        <v>https://climate.onebuilding.org/WMO_Region_4_North_and_Central_America/BRB_Barbados/BRB_CC_Seawell-Adams.Intl.AP.789540_TMYx.2009-2023.zip</v>
      </c>
    </row>
    <row r="133" spans="1:10" x14ac:dyDescent="0.25">
      <c r="A133" t="s">
        <v>94</v>
      </c>
      <c r="B133" t="s">
        <v>95</v>
      </c>
      <c r="C133" t="s">
        <v>96</v>
      </c>
      <c r="D133">
        <v>789540</v>
      </c>
      <c r="E133" t="s">
        <v>10</v>
      </c>
      <c r="F133">
        <v>13.0853</v>
      </c>
      <c r="G133">
        <v>-59.487299999999998</v>
      </c>
      <c r="H133">
        <v>-4</v>
      </c>
      <c r="I133">
        <v>51.5</v>
      </c>
      <c r="J133" t="str">
        <f>HYPERLINK("https://climate.onebuilding.org/WMO_Region_4_North_and_Central_America/BRB_Barbados/BRB_CC_Seawell-Adams.Intl.AP.789540_TMYx.zip")</f>
        <v>https://climate.onebuilding.org/WMO_Region_4_North_and_Central_America/BRB_Barbados/BRB_CC_Seawell-Adams.Intl.AP.789540_TMYx.zip</v>
      </c>
    </row>
    <row r="134" spans="1:10" x14ac:dyDescent="0.25">
      <c r="A134" t="s">
        <v>98</v>
      </c>
      <c r="B134" t="s">
        <v>65</v>
      </c>
      <c r="C134" t="s">
        <v>99</v>
      </c>
      <c r="D134">
        <v>749033</v>
      </c>
      <c r="E134" t="s">
        <v>18</v>
      </c>
      <c r="F134">
        <v>9.5169999999999995</v>
      </c>
      <c r="G134">
        <v>-82.65</v>
      </c>
      <c r="H134">
        <v>-6</v>
      </c>
      <c r="I134">
        <v>10</v>
      </c>
      <c r="J134" t="str">
        <f>HYPERLINK("https://climate.onebuilding.org/WMO_Region_4_North_and_Central_America/CRI_Costa_Rica/CRI_LI_Finca.Favorita.749033_TMYx.2007-2021.zip")</f>
        <v>https://climate.onebuilding.org/WMO_Region_4_North_and_Central_America/CRI_Costa_Rica/CRI_LI_Finca.Favorita.749033_TMYx.2007-2021.zip</v>
      </c>
    </row>
    <row r="135" spans="1:10" x14ac:dyDescent="0.25">
      <c r="A135" t="s">
        <v>98</v>
      </c>
      <c r="B135" t="s">
        <v>65</v>
      </c>
      <c r="C135" t="s">
        <v>99</v>
      </c>
      <c r="D135">
        <v>749033</v>
      </c>
      <c r="E135" t="s">
        <v>18</v>
      </c>
      <c r="F135">
        <v>9.5169999999999995</v>
      </c>
      <c r="G135">
        <v>-82.65</v>
      </c>
      <c r="H135">
        <v>-6</v>
      </c>
      <c r="I135">
        <v>10</v>
      </c>
      <c r="J135" t="str">
        <f>HYPERLINK("https://climate.onebuilding.org/WMO_Region_4_North_and_Central_America/CRI_Costa_Rica/CRI_LI_Finca.Favorita.749033_TMYx.2009-2023.zip")</f>
        <v>https://climate.onebuilding.org/WMO_Region_4_North_and_Central_America/CRI_Costa_Rica/CRI_LI_Finca.Favorita.749033_TMYx.2009-2023.zip</v>
      </c>
    </row>
    <row r="136" spans="1:10" x14ac:dyDescent="0.25">
      <c r="A136" t="s">
        <v>98</v>
      </c>
      <c r="B136" t="s">
        <v>65</v>
      </c>
      <c r="C136" t="s">
        <v>99</v>
      </c>
      <c r="D136">
        <v>749033</v>
      </c>
      <c r="E136" t="s">
        <v>18</v>
      </c>
      <c r="F136">
        <v>9.5169999999999995</v>
      </c>
      <c r="G136">
        <v>-82.65</v>
      </c>
      <c r="H136">
        <v>-6</v>
      </c>
      <c r="I136">
        <v>10</v>
      </c>
      <c r="J136" t="str">
        <f>HYPERLINK("https://climate.onebuilding.org/WMO_Region_4_North_and_Central_America/CRI_Costa_Rica/CRI_LI_Finca.Favorita.749033_TMYx.zip")</f>
        <v>https://climate.onebuilding.org/WMO_Region_4_North_and_Central_America/CRI_Costa_Rica/CRI_LI_Finca.Favorita.749033_TMYx.zip</v>
      </c>
    </row>
    <row r="137" spans="1:10" x14ac:dyDescent="0.25">
      <c r="A137" t="s">
        <v>98</v>
      </c>
      <c r="B137" t="s">
        <v>100</v>
      </c>
      <c r="C137" t="s">
        <v>101</v>
      </c>
      <c r="D137">
        <v>749036</v>
      </c>
      <c r="E137" t="s">
        <v>18</v>
      </c>
      <c r="F137">
        <v>9.5169999999999995</v>
      </c>
      <c r="G137">
        <v>-84.332999999999998</v>
      </c>
      <c r="H137">
        <v>-6</v>
      </c>
      <c r="I137">
        <v>6</v>
      </c>
      <c r="J137" t="str">
        <f>HYPERLINK("https://climate.onebuilding.org/WMO_Region_4_North_and_Central_America/CRI_Costa_Rica/CRI_PU_Parrita.749036_TMYx.2007-2021.zip")</f>
        <v>https://climate.onebuilding.org/WMO_Region_4_North_and_Central_America/CRI_Costa_Rica/CRI_PU_Parrita.749036_TMYx.2007-2021.zip</v>
      </c>
    </row>
    <row r="138" spans="1:10" x14ac:dyDescent="0.25">
      <c r="A138" t="s">
        <v>98</v>
      </c>
      <c r="B138" t="s">
        <v>100</v>
      </c>
      <c r="C138" t="s">
        <v>101</v>
      </c>
      <c r="D138">
        <v>749036</v>
      </c>
      <c r="E138" t="s">
        <v>18</v>
      </c>
      <c r="F138">
        <v>9.5169999999999995</v>
      </c>
      <c r="G138">
        <v>-84.332999999999998</v>
      </c>
      <c r="H138">
        <v>-6</v>
      </c>
      <c r="I138">
        <v>6</v>
      </c>
      <c r="J138" t="str">
        <f>HYPERLINK("https://climate.onebuilding.org/WMO_Region_4_North_and_Central_America/CRI_Costa_Rica/CRI_PU_Parrita.749036_TMYx.2009-2023.zip")</f>
        <v>https://climate.onebuilding.org/WMO_Region_4_North_and_Central_America/CRI_Costa_Rica/CRI_PU_Parrita.749036_TMYx.2009-2023.zip</v>
      </c>
    </row>
    <row r="139" spans="1:10" x14ac:dyDescent="0.25">
      <c r="A139" t="s">
        <v>98</v>
      </c>
      <c r="B139" t="s">
        <v>100</v>
      </c>
      <c r="C139" t="s">
        <v>101</v>
      </c>
      <c r="D139">
        <v>749036</v>
      </c>
      <c r="E139" t="s">
        <v>18</v>
      </c>
      <c r="F139">
        <v>9.5169999999999995</v>
      </c>
      <c r="G139">
        <v>-84.332999999999998</v>
      </c>
      <c r="H139">
        <v>-6</v>
      </c>
      <c r="I139">
        <v>6</v>
      </c>
      <c r="J139" t="str">
        <f>HYPERLINK("https://climate.onebuilding.org/WMO_Region_4_North_and_Central_America/CRI_Costa_Rica/CRI_PU_Parrita.749036_TMYx.zip")</f>
        <v>https://climate.onebuilding.org/WMO_Region_4_North_and_Central_America/CRI_Costa_Rica/CRI_PU_Parrita.749036_TMYx.zip</v>
      </c>
    </row>
    <row r="140" spans="1:10" x14ac:dyDescent="0.25">
      <c r="A140" t="s">
        <v>98</v>
      </c>
      <c r="B140" t="s">
        <v>102</v>
      </c>
      <c r="C140" t="s">
        <v>103</v>
      </c>
      <c r="D140">
        <v>787550</v>
      </c>
      <c r="E140" t="s">
        <v>18</v>
      </c>
      <c r="F140">
        <v>10.15</v>
      </c>
      <c r="G140">
        <v>-85.45</v>
      </c>
      <c r="H140">
        <v>-6</v>
      </c>
      <c r="I140">
        <v>120</v>
      </c>
      <c r="J140" t="str">
        <f>HYPERLINK("https://climate.onebuilding.org/WMO_Region_4_North_and_Central_America/CRI_Costa_Rica/CRI_GU_Nicoya.AP.787550_TMYx.2007-2021.zip")</f>
        <v>https://climate.onebuilding.org/WMO_Region_4_North_and_Central_America/CRI_Costa_Rica/CRI_GU_Nicoya.AP.787550_TMYx.2007-2021.zip</v>
      </c>
    </row>
    <row r="141" spans="1:10" x14ac:dyDescent="0.25">
      <c r="A141" t="s">
        <v>98</v>
      </c>
      <c r="B141" t="s">
        <v>102</v>
      </c>
      <c r="C141" t="s">
        <v>103</v>
      </c>
      <c r="D141">
        <v>787550</v>
      </c>
      <c r="E141" t="s">
        <v>18</v>
      </c>
      <c r="F141">
        <v>10.15</v>
      </c>
      <c r="G141">
        <v>-85.45</v>
      </c>
      <c r="H141">
        <v>-6</v>
      </c>
      <c r="I141">
        <v>120</v>
      </c>
      <c r="J141" t="str">
        <f>HYPERLINK("https://climate.onebuilding.org/WMO_Region_4_North_and_Central_America/CRI_Costa_Rica/CRI_GU_Nicoya.AP.787550_TMYx.2009-2023.zip")</f>
        <v>https://climate.onebuilding.org/WMO_Region_4_North_and_Central_America/CRI_Costa_Rica/CRI_GU_Nicoya.AP.787550_TMYx.2009-2023.zip</v>
      </c>
    </row>
    <row r="142" spans="1:10" x14ac:dyDescent="0.25">
      <c r="A142" t="s">
        <v>98</v>
      </c>
      <c r="B142" t="s">
        <v>102</v>
      </c>
      <c r="C142" t="s">
        <v>103</v>
      </c>
      <c r="D142">
        <v>787550</v>
      </c>
      <c r="E142" t="s">
        <v>18</v>
      </c>
      <c r="F142">
        <v>10.15</v>
      </c>
      <c r="G142">
        <v>-85.45</v>
      </c>
      <c r="H142">
        <v>-6</v>
      </c>
      <c r="I142">
        <v>120</v>
      </c>
      <c r="J142" t="str">
        <f>HYPERLINK("https://climate.onebuilding.org/WMO_Region_4_North_and_Central_America/CRI_Costa_Rica/CRI_GU_Nicoya.AP.787550_TMYx.zip")</f>
        <v>https://climate.onebuilding.org/WMO_Region_4_North_and_Central_America/CRI_Costa_Rica/CRI_GU_Nicoya.AP.787550_TMYx.zip</v>
      </c>
    </row>
    <row r="143" spans="1:10" x14ac:dyDescent="0.25">
      <c r="A143" t="s">
        <v>98</v>
      </c>
      <c r="B143" t="s">
        <v>100</v>
      </c>
      <c r="C143" t="s">
        <v>104</v>
      </c>
      <c r="D143">
        <v>787600</v>
      </c>
      <c r="E143" t="s">
        <v>18</v>
      </c>
      <c r="F143">
        <v>9.9670000000000005</v>
      </c>
      <c r="G143">
        <v>-84.832999999999998</v>
      </c>
      <c r="H143">
        <v>-6</v>
      </c>
      <c r="I143">
        <v>3</v>
      </c>
      <c r="J143" t="str">
        <f>HYPERLINK("https://climate.onebuilding.org/WMO_Region_4_North_and_Central_America/CRI_Costa_Rica/CRI_PU_Puntarenas.787600_TMYx.2007-2021.zip")</f>
        <v>https://climate.onebuilding.org/WMO_Region_4_North_and_Central_America/CRI_Costa_Rica/CRI_PU_Puntarenas.787600_TMYx.2007-2021.zip</v>
      </c>
    </row>
    <row r="144" spans="1:10" x14ac:dyDescent="0.25">
      <c r="A144" t="s">
        <v>98</v>
      </c>
      <c r="B144" t="s">
        <v>100</v>
      </c>
      <c r="C144" t="s">
        <v>104</v>
      </c>
      <c r="D144">
        <v>787600</v>
      </c>
      <c r="E144" t="s">
        <v>18</v>
      </c>
      <c r="F144">
        <v>9.9670000000000005</v>
      </c>
      <c r="G144">
        <v>-84.832999999999998</v>
      </c>
      <c r="H144">
        <v>-6</v>
      </c>
      <c r="I144">
        <v>3</v>
      </c>
      <c r="J144" t="str">
        <f>HYPERLINK("https://climate.onebuilding.org/WMO_Region_4_North_and_Central_America/CRI_Costa_Rica/CRI_PU_Puntarenas.787600_TMYx.2009-2023.zip")</f>
        <v>https://climate.onebuilding.org/WMO_Region_4_North_and_Central_America/CRI_Costa_Rica/CRI_PU_Puntarenas.787600_TMYx.2009-2023.zip</v>
      </c>
    </row>
    <row r="145" spans="1:10" x14ac:dyDescent="0.25">
      <c r="A145" t="s">
        <v>98</v>
      </c>
      <c r="B145" t="s">
        <v>100</v>
      </c>
      <c r="C145" t="s">
        <v>104</v>
      </c>
      <c r="D145">
        <v>787600</v>
      </c>
      <c r="E145" t="s">
        <v>18</v>
      </c>
      <c r="F145">
        <v>9.9670000000000005</v>
      </c>
      <c r="G145">
        <v>-84.832999999999998</v>
      </c>
      <c r="H145">
        <v>-6</v>
      </c>
      <c r="I145">
        <v>3</v>
      </c>
      <c r="J145" t="str">
        <f>HYPERLINK("https://climate.onebuilding.org/WMO_Region_4_North_and_Central_America/CRI_Costa_Rica/CRI_PU_Puntarenas.787600_TMYx.zip")</f>
        <v>https://climate.onebuilding.org/WMO_Region_4_North_and_Central_America/CRI_Costa_Rica/CRI_PU_Puntarenas.787600_TMYx.zip</v>
      </c>
    </row>
    <row r="146" spans="1:10" x14ac:dyDescent="0.25">
      <c r="A146" t="s">
        <v>98</v>
      </c>
      <c r="B146" t="s">
        <v>105</v>
      </c>
      <c r="C146" t="s">
        <v>106</v>
      </c>
      <c r="D146">
        <v>787605</v>
      </c>
      <c r="E146" t="s">
        <v>18</v>
      </c>
      <c r="F146">
        <v>9.9329999999999998</v>
      </c>
      <c r="G146">
        <v>-84.1</v>
      </c>
      <c r="H146">
        <v>-6</v>
      </c>
      <c r="I146">
        <v>1132</v>
      </c>
      <c r="J146" t="str">
        <f>HYPERLINK("https://climate.onebuilding.org/WMO_Region_4_North_and_Central_America/CRI_Costa_Rica/CRI_SJ_San.Jose-La.Sabana.787605_TMYx.2007-2021.zip")</f>
        <v>https://climate.onebuilding.org/WMO_Region_4_North_and_Central_America/CRI_Costa_Rica/CRI_SJ_San.Jose-La.Sabana.787605_TMYx.2007-2021.zip</v>
      </c>
    </row>
    <row r="147" spans="1:10" x14ac:dyDescent="0.25">
      <c r="A147" t="s">
        <v>98</v>
      </c>
      <c r="B147" t="s">
        <v>105</v>
      </c>
      <c r="C147" t="s">
        <v>106</v>
      </c>
      <c r="D147">
        <v>787605</v>
      </c>
      <c r="E147" t="s">
        <v>18</v>
      </c>
      <c r="F147">
        <v>9.9329999999999998</v>
      </c>
      <c r="G147">
        <v>-84.1</v>
      </c>
      <c r="H147">
        <v>-6</v>
      </c>
      <c r="I147">
        <v>1132</v>
      </c>
      <c r="J147" t="str">
        <f>HYPERLINK("https://climate.onebuilding.org/WMO_Region_4_North_and_Central_America/CRI_Costa_Rica/CRI_SJ_San.Jose-La.Sabana.787605_TMYx.2009-2023.zip")</f>
        <v>https://climate.onebuilding.org/WMO_Region_4_North_and_Central_America/CRI_Costa_Rica/CRI_SJ_San.Jose-La.Sabana.787605_TMYx.2009-2023.zip</v>
      </c>
    </row>
    <row r="148" spans="1:10" x14ac:dyDescent="0.25">
      <c r="A148" t="s">
        <v>98</v>
      </c>
      <c r="B148" t="s">
        <v>105</v>
      </c>
      <c r="C148" t="s">
        <v>106</v>
      </c>
      <c r="D148">
        <v>787605</v>
      </c>
      <c r="E148" t="s">
        <v>18</v>
      </c>
      <c r="F148">
        <v>9.9329999999999998</v>
      </c>
      <c r="G148">
        <v>-84.1</v>
      </c>
      <c r="H148">
        <v>-6</v>
      </c>
      <c r="I148">
        <v>1132</v>
      </c>
      <c r="J148" t="str">
        <f>HYPERLINK("https://climate.onebuilding.org/WMO_Region_4_North_and_Central_America/CRI_Costa_Rica/CRI_SJ_San.Jose-La.Sabana.787605_TMYx.zip")</f>
        <v>https://climate.onebuilding.org/WMO_Region_4_North_and_Central_America/CRI_Costa_Rica/CRI_SJ_San.Jose-La.Sabana.787605_TMYx.zip</v>
      </c>
    </row>
    <row r="149" spans="1:10" x14ac:dyDescent="0.25">
      <c r="A149" t="s">
        <v>98</v>
      </c>
      <c r="B149" t="s">
        <v>100</v>
      </c>
      <c r="C149" t="s">
        <v>107</v>
      </c>
      <c r="D149">
        <v>787606</v>
      </c>
      <c r="E149" t="s">
        <v>18</v>
      </c>
      <c r="F149">
        <v>8.9670000000000005</v>
      </c>
      <c r="G149">
        <v>-83.533000000000001</v>
      </c>
      <c r="H149">
        <v>-6</v>
      </c>
      <c r="I149">
        <v>10</v>
      </c>
      <c r="J149" t="str">
        <f>HYPERLINK("https://climate.onebuilding.org/WMO_Region_4_North_and_Central_America/CRI_Costa_Rica/CRI_PU_Paso.Canoas.AP.787606_TMYx.2007-2021.zip")</f>
        <v>https://climate.onebuilding.org/WMO_Region_4_North_and_Central_America/CRI_Costa_Rica/CRI_PU_Paso.Canoas.AP.787606_TMYx.2007-2021.zip</v>
      </c>
    </row>
    <row r="150" spans="1:10" x14ac:dyDescent="0.25">
      <c r="A150" t="s">
        <v>98</v>
      </c>
      <c r="B150" t="s">
        <v>100</v>
      </c>
      <c r="C150" t="s">
        <v>107</v>
      </c>
      <c r="D150">
        <v>787606</v>
      </c>
      <c r="E150" t="s">
        <v>18</v>
      </c>
      <c r="F150">
        <v>8.9670000000000005</v>
      </c>
      <c r="G150">
        <v>-83.533000000000001</v>
      </c>
      <c r="H150">
        <v>-6</v>
      </c>
      <c r="I150">
        <v>10</v>
      </c>
      <c r="J150" t="str">
        <f>HYPERLINK("https://climate.onebuilding.org/WMO_Region_4_North_and_Central_America/CRI_Costa_Rica/CRI_PU_Paso.Canoas.AP.787606_TMYx.2009-2023.zip")</f>
        <v>https://climate.onebuilding.org/WMO_Region_4_North_and_Central_America/CRI_Costa_Rica/CRI_PU_Paso.Canoas.AP.787606_TMYx.2009-2023.zip</v>
      </c>
    </row>
    <row r="151" spans="1:10" x14ac:dyDescent="0.25">
      <c r="A151" t="s">
        <v>98</v>
      </c>
      <c r="B151" t="s">
        <v>100</v>
      </c>
      <c r="C151" t="s">
        <v>107</v>
      </c>
      <c r="D151">
        <v>787606</v>
      </c>
      <c r="E151" t="s">
        <v>18</v>
      </c>
      <c r="F151">
        <v>8.9670000000000005</v>
      </c>
      <c r="G151">
        <v>-83.533000000000001</v>
      </c>
      <c r="H151">
        <v>-6</v>
      </c>
      <c r="I151">
        <v>10</v>
      </c>
      <c r="J151" t="str">
        <f>HYPERLINK("https://climate.onebuilding.org/WMO_Region_4_North_and_Central_America/CRI_Costa_Rica/CRI_PU_Paso.Canoas.AP.787606_TMYx.zip")</f>
        <v>https://climate.onebuilding.org/WMO_Region_4_North_and_Central_America/CRI_Costa_Rica/CRI_PU_Paso.Canoas.AP.787606_TMYx.zip</v>
      </c>
    </row>
    <row r="152" spans="1:10" x14ac:dyDescent="0.25">
      <c r="A152" t="s">
        <v>98</v>
      </c>
      <c r="B152" t="s">
        <v>100</v>
      </c>
      <c r="C152" t="s">
        <v>108</v>
      </c>
      <c r="D152">
        <v>787613</v>
      </c>
      <c r="E152" t="s">
        <v>18</v>
      </c>
      <c r="F152">
        <v>9.984</v>
      </c>
      <c r="G152">
        <v>-84.772000000000006</v>
      </c>
      <c r="H152">
        <v>-6</v>
      </c>
      <c r="I152">
        <v>2.1</v>
      </c>
      <c r="J152" t="str">
        <f>HYPERLINK("https://climate.onebuilding.org/WMO_Region_4_North_and_Central_America/CRI_Costa_Rica/CRI_PU_Chacarita-Puntarenas.AP.787613_TMYx.2007-2021.zip")</f>
        <v>https://climate.onebuilding.org/WMO_Region_4_North_and_Central_America/CRI_Costa_Rica/CRI_PU_Chacarita-Puntarenas.AP.787613_TMYx.2007-2021.zip</v>
      </c>
    </row>
    <row r="153" spans="1:10" x14ac:dyDescent="0.25">
      <c r="A153" t="s">
        <v>98</v>
      </c>
      <c r="B153" t="s">
        <v>100</v>
      </c>
      <c r="C153" t="s">
        <v>108</v>
      </c>
      <c r="D153">
        <v>787613</v>
      </c>
      <c r="E153" t="s">
        <v>18</v>
      </c>
      <c r="F153">
        <v>9.984</v>
      </c>
      <c r="G153">
        <v>-84.772000000000006</v>
      </c>
      <c r="H153">
        <v>-6</v>
      </c>
      <c r="I153">
        <v>2.1</v>
      </c>
      <c r="J153" t="str">
        <f>HYPERLINK("https://climate.onebuilding.org/WMO_Region_4_North_and_Central_America/CRI_Costa_Rica/CRI_PU_Chacarita-Puntarenas.AP.787613_TMYx.2009-2023.zip")</f>
        <v>https://climate.onebuilding.org/WMO_Region_4_North_and_Central_America/CRI_Costa_Rica/CRI_PU_Chacarita-Puntarenas.AP.787613_TMYx.2009-2023.zip</v>
      </c>
    </row>
    <row r="154" spans="1:10" x14ac:dyDescent="0.25">
      <c r="A154" t="s">
        <v>98</v>
      </c>
      <c r="B154" t="s">
        <v>100</v>
      </c>
      <c r="C154" t="s">
        <v>108</v>
      </c>
      <c r="D154">
        <v>787613</v>
      </c>
      <c r="E154" t="s">
        <v>18</v>
      </c>
      <c r="F154">
        <v>9.984</v>
      </c>
      <c r="G154">
        <v>-84.772000000000006</v>
      </c>
      <c r="H154">
        <v>-6</v>
      </c>
      <c r="I154">
        <v>2.1</v>
      </c>
      <c r="J154" t="str">
        <f>HYPERLINK("https://climate.onebuilding.org/WMO_Region_4_North_and_Central_America/CRI_Costa_Rica/CRI_PU_Chacarita-Puntarenas.AP.787613_TMYx.zip")</f>
        <v>https://climate.onebuilding.org/WMO_Region_4_North_and_Central_America/CRI_Costa_Rica/CRI_PU_Chacarita-Puntarenas.AP.787613_TMYx.zip</v>
      </c>
    </row>
    <row r="155" spans="1:10" x14ac:dyDescent="0.25">
      <c r="A155" t="s">
        <v>98</v>
      </c>
      <c r="B155" t="s">
        <v>109</v>
      </c>
      <c r="C155" t="s">
        <v>110</v>
      </c>
      <c r="D155">
        <v>787620</v>
      </c>
      <c r="E155" t="s">
        <v>111</v>
      </c>
      <c r="F155">
        <v>9.9939999999999998</v>
      </c>
      <c r="G155">
        <v>-84.209000000000003</v>
      </c>
      <c r="H155">
        <v>-6</v>
      </c>
      <c r="I155">
        <v>920.8</v>
      </c>
      <c r="J155" t="str">
        <f>HYPERLINK("https://climate.onebuilding.org/WMO_Region_4_North_and_Central_America/CRI_Costa_Rica/CRI_AL_San.Jose-Santamaria.Intl.AP.787620_TMYx.2004-2018.zip")</f>
        <v>https://climate.onebuilding.org/WMO_Region_4_North_and_Central_America/CRI_Costa_Rica/CRI_AL_San.Jose-Santamaria.Intl.AP.787620_TMYx.2004-2018.zip</v>
      </c>
    </row>
    <row r="156" spans="1:10" x14ac:dyDescent="0.25">
      <c r="A156" t="s">
        <v>98</v>
      </c>
      <c r="B156" t="s">
        <v>109</v>
      </c>
      <c r="C156" t="s">
        <v>110</v>
      </c>
      <c r="D156">
        <v>787620</v>
      </c>
      <c r="E156" t="s">
        <v>10</v>
      </c>
      <c r="F156">
        <v>9.9892000000000003</v>
      </c>
      <c r="G156">
        <v>-84.218299999999999</v>
      </c>
      <c r="H156">
        <v>-6</v>
      </c>
      <c r="I156">
        <v>920.8</v>
      </c>
      <c r="J156" t="str">
        <f>HYPERLINK("https://climate.onebuilding.org/WMO_Region_4_North_and_Central_America/CRI_Costa_Rica/CRI_AL_San.Jose-Santamaria.Intl.AP.787620_TMYx.2007-2021.zip")</f>
        <v>https://climate.onebuilding.org/WMO_Region_4_North_and_Central_America/CRI_Costa_Rica/CRI_AL_San.Jose-Santamaria.Intl.AP.787620_TMYx.2007-2021.zip</v>
      </c>
    </row>
    <row r="157" spans="1:10" x14ac:dyDescent="0.25">
      <c r="A157" t="s">
        <v>98</v>
      </c>
      <c r="B157" t="s">
        <v>109</v>
      </c>
      <c r="C157" t="s">
        <v>110</v>
      </c>
      <c r="D157">
        <v>787620</v>
      </c>
      <c r="E157" t="s">
        <v>10</v>
      </c>
      <c r="F157">
        <v>9.9892000000000003</v>
      </c>
      <c r="G157">
        <v>-84.218299999999999</v>
      </c>
      <c r="H157">
        <v>-6</v>
      </c>
      <c r="I157">
        <v>920.8</v>
      </c>
      <c r="J157" t="str">
        <f>HYPERLINK("https://climate.onebuilding.org/WMO_Region_4_North_and_Central_America/CRI_Costa_Rica/CRI_AL_San.Jose-Santamaria.Intl.AP.787620_TMYx.2009-2023.zip")</f>
        <v>https://climate.onebuilding.org/WMO_Region_4_North_and_Central_America/CRI_Costa_Rica/CRI_AL_San.Jose-Santamaria.Intl.AP.787620_TMYx.2009-2023.zip</v>
      </c>
    </row>
    <row r="158" spans="1:10" x14ac:dyDescent="0.25">
      <c r="A158" t="s">
        <v>98</v>
      </c>
      <c r="B158" t="s">
        <v>109</v>
      </c>
      <c r="C158" t="s">
        <v>110</v>
      </c>
      <c r="D158">
        <v>787620</v>
      </c>
      <c r="E158" t="s">
        <v>10</v>
      </c>
      <c r="F158">
        <v>9.9892000000000003</v>
      </c>
      <c r="G158">
        <v>-84.218299999999999</v>
      </c>
      <c r="H158">
        <v>-6</v>
      </c>
      <c r="I158">
        <v>920.8</v>
      </c>
      <c r="J158" t="str">
        <f>HYPERLINK("https://climate.onebuilding.org/WMO_Region_4_North_and_Central_America/CRI_Costa_Rica/CRI_AL_San.Jose-Santamaria.Intl.AP.787620_TMYx.zip")</f>
        <v>https://climate.onebuilding.org/WMO_Region_4_North_and_Central_America/CRI_Costa_Rica/CRI_AL_San.Jose-Santamaria.Intl.AP.787620_TMYx.zip</v>
      </c>
    </row>
    <row r="159" spans="1:10" x14ac:dyDescent="0.25">
      <c r="A159" t="s">
        <v>98</v>
      </c>
      <c r="B159" t="s">
        <v>105</v>
      </c>
      <c r="C159" t="s">
        <v>112</v>
      </c>
      <c r="D159">
        <v>787640</v>
      </c>
      <c r="E159" t="s">
        <v>113</v>
      </c>
      <c r="F159">
        <v>9.9570000000000007</v>
      </c>
      <c r="G159">
        <v>-84.14</v>
      </c>
      <c r="H159">
        <v>-6</v>
      </c>
      <c r="I159">
        <v>994</v>
      </c>
      <c r="J159" t="str">
        <f>HYPERLINK("https://climate.onebuilding.org/WMO_Region_4_North_and_Central_America/CRI_Costa_Rica/CRI_SJ_San.Jose-Bolanos.Intl.AP.787640_TMYx.2004-2018.zip")</f>
        <v>https://climate.onebuilding.org/WMO_Region_4_North_and_Central_America/CRI_Costa_Rica/CRI_SJ_San.Jose-Bolanos.Intl.AP.787640_TMYx.2004-2018.zip</v>
      </c>
    </row>
    <row r="160" spans="1:10" x14ac:dyDescent="0.25">
      <c r="A160" t="s">
        <v>98</v>
      </c>
      <c r="B160" t="s">
        <v>105</v>
      </c>
      <c r="C160" t="s">
        <v>112</v>
      </c>
      <c r="D160">
        <v>787640</v>
      </c>
      <c r="E160" t="s">
        <v>10</v>
      </c>
      <c r="F160">
        <v>9.9570000000000007</v>
      </c>
      <c r="G160">
        <v>-84.14</v>
      </c>
      <c r="H160">
        <v>-6</v>
      </c>
      <c r="I160">
        <v>994</v>
      </c>
      <c r="J160" t="str">
        <f>HYPERLINK("https://climate.onebuilding.org/WMO_Region_4_North_and_Central_America/CRI_Costa_Rica/CRI_SJ_San.Jose-Bolanos.Intl.AP.787640_TMYx.2007-2021.zip")</f>
        <v>https://climate.onebuilding.org/WMO_Region_4_North_and_Central_America/CRI_Costa_Rica/CRI_SJ_San.Jose-Bolanos.Intl.AP.787640_TMYx.2007-2021.zip</v>
      </c>
    </row>
    <row r="161" spans="1:10" x14ac:dyDescent="0.25">
      <c r="A161" t="s">
        <v>98</v>
      </c>
      <c r="B161" t="s">
        <v>105</v>
      </c>
      <c r="C161" t="s">
        <v>112</v>
      </c>
      <c r="D161">
        <v>787640</v>
      </c>
      <c r="E161" t="s">
        <v>10</v>
      </c>
      <c r="F161">
        <v>9.9570000000000007</v>
      </c>
      <c r="G161">
        <v>-84.14</v>
      </c>
      <c r="H161">
        <v>-6</v>
      </c>
      <c r="I161">
        <v>994</v>
      </c>
      <c r="J161" t="str">
        <f>HYPERLINK("https://climate.onebuilding.org/WMO_Region_4_North_and_Central_America/CRI_Costa_Rica/CRI_SJ_San.Jose-Bolanos.Intl.AP.787640_TMYx.2009-2023.zip")</f>
        <v>https://climate.onebuilding.org/WMO_Region_4_North_and_Central_America/CRI_Costa_Rica/CRI_SJ_San.Jose-Bolanos.Intl.AP.787640_TMYx.2009-2023.zip</v>
      </c>
    </row>
    <row r="162" spans="1:10" x14ac:dyDescent="0.25">
      <c r="A162" t="s">
        <v>98</v>
      </c>
      <c r="B162" t="s">
        <v>105</v>
      </c>
      <c r="C162" t="s">
        <v>112</v>
      </c>
      <c r="D162">
        <v>787640</v>
      </c>
      <c r="E162" t="s">
        <v>10</v>
      </c>
      <c r="F162">
        <v>9.9570000000000007</v>
      </c>
      <c r="G162">
        <v>-84.14</v>
      </c>
      <c r="H162">
        <v>-6</v>
      </c>
      <c r="I162">
        <v>994</v>
      </c>
      <c r="J162" t="str">
        <f>HYPERLINK("https://climate.onebuilding.org/WMO_Region_4_North_and_Central_America/CRI_Costa_Rica/CRI_SJ_San.Jose-Bolanos.Intl.AP.787640_TMYx.zip")</f>
        <v>https://climate.onebuilding.org/WMO_Region_4_North_and_Central_America/CRI_Costa_Rica/CRI_SJ_San.Jose-Bolanos.Intl.AP.787640_TMYx.zip</v>
      </c>
    </row>
    <row r="163" spans="1:10" x14ac:dyDescent="0.25">
      <c r="A163" t="s">
        <v>98</v>
      </c>
      <c r="B163" t="s">
        <v>65</v>
      </c>
      <c r="C163" t="s">
        <v>114</v>
      </c>
      <c r="D163">
        <v>787670</v>
      </c>
      <c r="E163" t="s">
        <v>115</v>
      </c>
      <c r="F163">
        <v>9.9580000000000002</v>
      </c>
      <c r="G163">
        <v>-83.022000000000006</v>
      </c>
      <c r="H163">
        <v>-6</v>
      </c>
      <c r="I163">
        <v>2.1</v>
      </c>
      <c r="J163" t="str">
        <f>HYPERLINK("https://climate.onebuilding.org/WMO_Region_4_North_and_Central_America/CRI_Costa_Rica/CRI_LI_Limon.Intl.AP.787670_TMYx.2004-2018.zip")</f>
        <v>https://climate.onebuilding.org/WMO_Region_4_North_and_Central_America/CRI_Costa_Rica/CRI_LI_Limon.Intl.AP.787670_TMYx.2004-2018.zip</v>
      </c>
    </row>
    <row r="164" spans="1:10" x14ac:dyDescent="0.25">
      <c r="A164" t="s">
        <v>98</v>
      </c>
      <c r="B164" t="s">
        <v>65</v>
      </c>
      <c r="C164" t="s">
        <v>114</v>
      </c>
      <c r="D164">
        <v>787670</v>
      </c>
      <c r="E164" t="s">
        <v>10</v>
      </c>
      <c r="F164">
        <v>9.9580000000000002</v>
      </c>
      <c r="G164">
        <v>-83.022000000000006</v>
      </c>
      <c r="H164">
        <v>-6</v>
      </c>
      <c r="I164">
        <v>2.1</v>
      </c>
      <c r="J164" t="str">
        <f>HYPERLINK("https://climate.onebuilding.org/WMO_Region_4_North_and_Central_America/CRI_Costa_Rica/CRI_LI_Limon.Intl.AP.787670_TMYx.2007-2021.zip")</f>
        <v>https://climate.onebuilding.org/WMO_Region_4_North_and_Central_America/CRI_Costa_Rica/CRI_LI_Limon.Intl.AP.787670_TMYx.2007-2021.zip</v>
      </c>
    </row>
    <row r="165" spans="1:10" x14ac:dyDescent="0.25">
      <c r="A165" t="s">
        <v>98</v>
      </c>
      <c r="B165" t="s">
        <v>65</v>
      </c>
      <c r="C165" t="s">
        <v>114</v>
      </c>
      <c r="D165">
        <v>787670</v>
      </c>
      <c r="E165" t="s">
        <v>10</v>
      </c>
      <c r="F165">
        <v>9.9580000000000002</v>
      </c>
      <c r="G165">
        <v>-83.022000000000006</v>
      </c>
      <c r="H165">
        <v>-6</v>
      </c>
      <c r="I165">
        <v>2.1</v>
      </c>
      <c r="J165" t="str">
        <f>HYPERLINK("https://climate.onebuilding.org/WMO_Region_4_North_and_Central_America/CRI_Costa_Rica/CRI_LI_Limon.Intl.AP.787670_TMYx.2009-2023.zip")</f>
        <v>https://climate.onebuilding.org/WMO_Region_4_North_and_Central_America/CRI_Costa_Rica/CRI_LI_Limon.Intl.AP.787670_TMYx.2009-2023.zip</v>
      </c>
    </row>
    <row r="166" spans="1:10" x14ac:dyDescent="0.25">
      <c r="A166" t="s">
        <v>98</v>
      </c>
      <c r="B166" t="s">
        <v>65</v>
      </c>
      <c r="C166" t="s">
        <v>114</v>
      </c>
      <c r="D166">
        <v>787670</v>
      </c>
      <c r="E166" t="s">
        <v>10</v>
      </c>
      <c r="F166">
        <v>9.9580000000000002</v>
      </c>
      <c r="G166">
        <v>-83.022000000000006</v>
      </c>
      <c r="H166">
        <v>-6</v>
      </c>
      <c r="I166">
        <v>2.1</v>
      </c>
      <c r="J166" t="str">
        <f>HYPERLINK("https://climate.onebuilding.org/WMO_Region_4_North_and_Central_America/CRI_Costa_Rica/CRI_LI_Limon.Intl.AP.787670_TMYx.zip")</f>
        <v>https://climate.onebuilding.org/WMO_Region_4_North_and_Central_America/CRI_Costa_Rica/CRI_LI_Limon.Intl.AP.787670_TMYx.zip</v>
      </c>
    </row>
    <row r="167" spans="1:10" x14ac:dyDescent="0.25">
      <c r="A167" t="s">
        <v>98</v>
      </c>
      <c r="B167" t="s">
        <v>100</v>
      </c>
      <c r="C167" t="s">
        <v>116</v>
      </c>
      <c r="D167">
        <v>787720</v>
      </c>
      <c r="E167" t="s">
        <v>18</v>
      </c>
      <c r="F167">
        <v>8.9510000000000005</v>
      </c>
      <c r="G167">
        <v>-83.468999999999994</v>
      </c>
      <c r="H167">
        <v>-6</v>
      </c>
      <c r="I167">
        <v>14.9</v>
      </c>
      <c r="J167" t="str">
        <f>HYPERLINK("https://climate.onebuilding.org/WMO_Region_4_North_and_Central_America/CRI_Costa_Rica/CRI_PU_Palmar.Sur-Southern.Zone.Intl.AP.787720_TMYx.2007-2021.zip")</f>
        <v>https://climate.onebuilding.org/WMO_Region_4_North_and_Central_America/CRI_Costa_Rica/CRI_PU_Palmar.Sur-Southern.Zone.Intl.AP.787720_TMYx.2007-2021.zip</v>
      </c>
    </row>
    <row r="168" spans="1:10" x14ac:dyDescent="0.25">
      <c r="A168" t="s">
        <v>98</v>
      </c>
      <c r="B168" t="s">
        <v>100</v>
      </c>
      <c r="C168" t="s">
        <v>116</v>
      </c>
      <c r="D168">
        <v>787720</v>
      </c>
      <c r="E168" t="s">
        <v>18</v>
      </c>
      <c r="F168">
        <v>8.9510000000000005</v>
      </c>
      <c r="G168">
        <v>-83.468999999999994</v>
      </c>
      <c r="H168">
        <v>-6</v>
      </c>
      <c r="I168">
        <v>14.9</v>
      </c>
      <c r="J168" t="str">
        <f>HYPERLINK("https://climate.onebuilding.org/WMO_Region_4_North_and_Central_America/CRI_Costa_Rica/CRI_PU_Palmar.Sur-Southern.Zone.Intl.AP.787720_TMYx.2009-2023.zip")</f>
        <v>https://climate.onebuilding.org/WMO_Region_4_North_and_Central_America/CRI_Costa_Rica/CRI_PU_Palmar.Sur-Southern.Zone.Intl.AP.787720_TMYx.2009-2023.zip</v>
      </c>
    </row>
    <row r="169" spans="1:10" x14ac:dyDescent="0.25">
      <c r="A169" t="s">
        <v>98</v>
      </c>
      <c r="B169" t="s">
        <v>100</v>
      </c>
      <c r="C169" t="s">
        <v>116</v>
      </c>
      <c r="D169">
        <v>787720</v>
      </c>
      <c r="E169" t="s">
        <v>18</v>
      </c>
      <c r="F169">
        <v>8.9510000000000005</v>
      </c>
      <c r="G169">
        <v>-83.468999999999994</v>
      </c>
      <c r="H169">
        <v>-6</v>
      </c>
      <c r="I169">
        <v>14.9</v>
      </c>
      <c r="J169" t="str">
        <f>HYPERLINK("https://climate.onebuilding.org/WMO_Region_4_North_and_Central_America/CRI_Costa_Rica/CRI_PU_Palmar.Sur-Southern.Zone.Intl.AP.787720_TMYx.zip")</f>
        <v>https://climate.onebuilding.org/WMO_Region_4_North_and_Central_America/CRI_Costa_Rica/CRI_PU_Palmar.Sur-Southern.Zone.Intl.AP.787720_TMYx.zip</v>
      </c>
    </row>
    <row r="170" spans="1:10" x14ac:dyDescent="0.25">
      <c r="A170" t="s">
        <v>98</v>
      </c>
      <c r="B170" t="s">
        <v>102</v>
      </c>
      <c r="C170" t="s">
        <v>117</v>
      </c>
      <c r="D170">
        <v>787740</v>
      </c>
      <c r="E170" t="s">
        <v>118</v>
      </c>
      <c r="F170">
        <v>10.593</v>
      </c>
      <c r="G170">
        <v>-85.543999999999997</v>
      </c>
      <c r="H170">
        <v>-6</v>
      </c>
      <c r="I170">
        <v>82.3</v>
      </c>
      <c r="J170" t="str">
        <f>HYPERLINK("https://climate.onebuilding.org/WMO_Region_4_North_and_Central_America/CRI_Costa_Rica/CRI_GU_Quiros-Liberia.Intl.AP.787740_TMYx.2004-2018.zip")</f>
        <v>https://climate.onebuilding.org/WMO_Region_4_North_and_Central_America/CRI_Costa_Rica/CRI_GU_Quiros-Liberia.Intl.AP.787740_TMYx.2004-2018.zip</v>
      </c>
    </row>
    <row r="171" spans="1:10" x14ac:dyDescent="0.25">
      <c r="A171" t="s">
        <v>98</v>
      </c>
      <c r="B171" t="s">
        <v>102</v>
      </c>
      <c r="C171" t="s">
        <v>117</v>
      </c>
      <c r="D171">
        <v>787740</v>
      </c>
      <c r="E171" t="s">
        <v>18</v>
      </c>
      <c r="F171">
        <v>10.593</v>
      </c>
      <c r="G171">
        <v>-85.543999999999997</v>
      </c>
      <c r="H171">
        <v>-6</v>
      </c>
      <c r="I171">
        <v>82.3</v>
      </c>
      <c r="J171" t="str">
        <f>HYPERLINK("https://climate.onebuilding.org/WMO_Region_4_North_and_Central_America/CRI_Costa_Rica/CRI_GU_Quiros-Liberia.Intl.AP.787740_TMYx.2007-2021.zip")</f>
        <v>https://climate.onebuilding.org/WMO_Region_4_North_and_Central_America/CRI_Costa_Rica/CRI_GU_Quiros-Liberia.Intl.AP.787740_TMYx.2007-2021.zip</v>
      </c>
    </row>
    <row r="172" spans="1:10" x14ac:dyDescent="0.25">
      <c r="A172" t="s">
        <v>98</v>
      </c>
      <c r="B172" t="s">
        <v>102</v>
      </c>
      <c r="C172" t="s">
        <v>117</v>
      </c>
      <c r="D172">
        <v>787740</v>
      </c>
      <c r="E172" t="s">
        <v>18</v>
      </c>
      <c r="F172">
        <v>10.593</v>
      </c>
      <c r="G172">
        <v>-85.543999999999997</v>
      </c>
      <c r="H172">
        <v>-6</v>
      </c>
      <c r="I172">
        <v>82.3</v>
      </c>
      <c r="J172" t="str">
        <f>HYPERLINK("https://climate.onebuilding.org/WMO_Region_4_North_and_Central_America/CRI_Costa_Rica/CRI_GU_Quiros-Liberia.Intl.AP.787740_TMYx.2009-2023.zip")</f>
        <v>https://climate.onebuilding.org/WMO_Region_4_North_and_Central_America/CRI_Costa_Rica/CRI_GU_Quiros-Liberia.Intl.AP.787740_TMYx.2009-2023.zip</v>
      </c>
    </row>
    <row r="173" spans="1:10" x14ac:dyDescent="0.25">
      <c r="A173" t="s">
        <v>98</v>
      </c>
      <c r="B173" t="s">
        <v>102</v>
      </c>
      <c r="C173" t="s">
        <v>117</v>
      </c>
      <c r="D173">
        <v>787740</v>
      </c>
      <c r="E173" t="s">
        <v>18</v>
      </c>
      <c r="F173">
        <v>10.593</v>
      </c>
      <c r="G173">
        <v>-85.543999999999997</v>
      </c>
      <c r="H173">
        <v>-6</v>
      </c>
      <c r="I173">
        <v>82.3</v>
      </c>
      <c r="J173" t="str">
        <f>HYPERLINK("https://climate.onebuilding.org/WMO_Region_4_North_and_Central_America/CRI_Costa_Rica/CRI_GU_Quiros-Liberia.Intl.AP.787740_TMYx.zip")</f>
        <v>https://climate.onebuilding.org/WMO_Region_4_North_and_Central_America/CRI_Costa_Rica/CRI_GU_Quiros-Liberia.Intl.AP.787740_TMYx.zip</v>
      </c>
    </row>
    <row r="174" spans="1:10" x14ac:dyDescent="0.25">
      <c r="A174" t="s">
        <v>119</v>
      </c>
      <c r="B174" t="s">
        <v>120</v>
      </c>
      <c r="C174" t="s">
        <v>121</v>
      </c>
      <c r="D174">
        <v>782210</v>
      </c>
      <c r="E174" t="s">
        <v>10</v>
      </c>
      <c r="F174">
        <v>21.835000000000001</v>
      </c>
      <c r="G174">
        <v>-82.784000000000006</v>
      </c>
      <c r="H174">
        <v>-5</v>
      </c>
      <c r="I174">
        <v>24.1</v>
      </c>
      <c r="J174" t="str">
        <f>HYPERLINK("https://climate.onebuilding.org/WMO_Region_4_North_and_Central_America/CUB_Cuba/IJ_Isla_de_la_Juventud/CUB_IJ_Rafael.Cabrera.AP.782210_TMYx.2007-2021.zip")</f>
        <v>https://climate.onebuilding.org/WMO_Region_4_North_and_Central_America/CUB_Cuba/IJ_Isla_de_la_Juventud/CUB_IJ_Rafael.Cabrera.AP.782210_TMYx.2007-2021.zip</v>
      </c>
    </row>
    <row r="175" spans="1:10" x14ac:dyDescent="0.25">
      <c r="A175" t="s">
        <v>119</v>
      </c>
      <c r="B175" t="s">
        <v>120</v>
      </c>
      <c r="C175" t="s">
        <v>121</v>
      </c>
      <c r="D175">
        <v>782210</v>
      </c>
      <c r="E175" t="s">
        <v>10</v>
      </c>
      <c r="F175">
        <v>21.835000000000001</v>
      </c>
      <c r="G175">
        <v>-82.784000000000006</v>
      </c>
      <c r="H175">
        <v>-5</v>
      </c>
      <c r="I175">
        <v>24.1</v>
      </c>
      <c r="J175" t="str">
        <f>HYPERLINK("https://climate.onebuilding.org/WMO_Region_4_North_and_Central_America/CUB_Cuba/IJ_Isla_de_la_Juventud/CUB_IJ_Rafael.Cabrera.AP.782210_TMYx.2009-2023.zip")</f>
        <v>https://climate.onebuilding.org/WMO_Region_4_North_and_Central_America/CUB_Cuba/IJ_Isla_de_la_Juventud/CUB_IJ_Rafael.Cabrera.AP.782210_TMYx.2009-2023.zip</v>
      </c>
    </row>
    <row r="176" spans="1:10" x14ac:dyDescent="0.25">
      <c r="A176" t="s">
        <v>119</v>
      </c>
      <c r="B176" t="s">
        <v>120</v>
      </c>
      <c r="C176" t="s">
        <v>121</v>
      </c>
      <c r="D176">
        <v>782210</v>
      </c>
      <c r="E176" t="s">
        <v>10</v>
      </c>
      <c r="F176">
        <v>21.835000000000001</v>
      </c>
      <c r="G176">
        <v>-82.784000000000006</v>
      </c>
      <c r="H176">
        <v>-5</v>
      </c>
      <c r="I176">
        <v>24.1</v>
      </c>
      <c r="J176" t="str">
        <f>HYPERLINK("https://climate.onebuilding.org/WMO_Region_4_North_and_Central_America/CUB_Cuba/IJ_Isla_de_la_Juventud/CUB_IJ_Rafael.Cabrera.AP.782210_TMYx.zip")</f>
        <v>https://climate.onebuilding.org/WMO_Region_4_North_and_Central_America/CUB_Cuba/IJ_Isla_de_la_Juventud/CUB_IJ_Rafael.Cabrera.AP.782210_TMYx.zip</v>
      </c>
    </row>
    <row r="177" spans="1:10" x14ac:dyDescent="0.25">
      <c r="A177" t="s">
        <v>119</v>
      </c>
      <c r="B177" t="s">
        <v>122</v>
      </c>
      <c r="C177" t="s">
        <v>123</v>
      </c>
      <c r="D177">
        <v>782240</v>
      </c>
      <c r="E177" t="s">
        <v>124</v>
      </c>
      <c r="F177">
        <v>22.989000000000001</v>
      </c>
      <c r="G177">
        <v>-82.409000000000006</v>
      </c>
      <c r="H177">
        <v>-5</v>
      </c>
      <c r="I177">
        <v>64</v>
      </c>
      <c r="J177" t="str">
        <f>HYPERLINK("https://climate.onebuilding.org/WMO_Region_4_North_and_Central_America/CUB_Cuba/CH_La_Habana/CUB_CH_Boyeros-Havana-Marti.Intl.AP.782240_TMYx.2004-2018.zip")</f>
        <v>https://climate.onebuilding.org/WMO_Region_4_North_and_Central_America/CUB_Cuba/CH_La_Habana/CUB_CH_Boyeros-Havana-Marti.Intl.AP.782240_TMYx.2004-2018.zip</v>
      </c>
    </row>
    <row r="178" spans="1:10" x14ac:dyDescent="0.25">
      <c r="A178" t="s">
        <v>119</v>
      </c>
      <c r="B178" t="s">
        <v>122</v>
      </c>
      <c r="C178" t="s">
        <v>123</v>
      </c>
      <c r="D178">
        <v>782240</v>
      </c>
      <c r="E178" t="s">
        <v>10</v>
      </c>
      <c r="F178">
        <v>22.989000000000001</v>
      </c>
      <c r="G178">
        <v>-82.409000000000006</v>
      </c>
      <c r="H178">
        <v>-5</v>
      </c>
      <c r="I178">
        <v>64</v>
      </c>
      <c r="J178" t="str">
        <f>HYPERLINK("https://climate.onebuilding.org/WMO_Region_4_North_and_Central_America/CUB_Cuba/CH_La_Habana/CUB_CH_Boyeros-Havana-Marti.Intl.AP.782240_TMYx.2007-2021.zip")</f>
        <v>https://climate.onebuilding.org/WMO_Region_4_North_and_Central_America/CUB_Cuba/CH_La_Habana/CUB_CH_Boyeros-Havana-Marti.Intl.AP.782240_TMYx.2007-2021.zip</v>
      </c>
    </row>
    <row r="179" spans="1:10" x14ac:dyDescent="0.25">
      <c r="A179" t="s">
        <v>119</v>
      </c>
      <c r="B179" t="s">
        <v>122</v>
      </c>
      <c r="C179" t="s">
        <v>123</v>
      </c>
      <c r="D179">
        <v>782240</v>
      </c>
      <c r="E179" t="s">
        <v>10</v>
      </c>
      <c r="F179">
        <v>22.989000000000001</v>
      </c>
      <c r="G179">
        <v>-82.409000000000006</v>
      </c>
      <c r="H179">
        <v>-5</v>
      </c>
      <c r="I179">
        <v>64</v>
      </c>
      <c r="J179" t="str">
        <f>HYPERLINK("https://climate.onebuilding.org/WMO_Region_4_North_and_Central_America/CUB_Cuba/CH_La_Habana/CUB_CH_Boyeros-Havana-Marti.Intl.AP.782240_TMYx.2009-2023.zip")</f>
        <v>https://climate.onebuilding.org/WMO_Region_4_North_and_Central_America/CUB_Cuba/CH_La_Habana/CUB_CH_Boyeros-Havana-Marti.Intl.AP.782240_TMYx.2009-2023.zip</v>
      </c>
    </row>
    <row r="180" spans="1:10" x14ac:dyDescent="0.25">
      <c r="A180" t="s">
        <v>119</v>
      </c>
      <c r="B180" t="s">
        <v>122</v>
      </c>
      <c r="C180" t="s">
        <v>123</v>
      </c>
      <c r="D180">
        <v>782240</v>
      </c>
      <c r="E180" t="s">
        <v>10</v>
      </c>
      <c r="F180">
        <v>22.989000000000001</v>
      </c>
      <c r="G180">
        <v>-82.409000000000006</v>
      </c>
      <c r="H180">
        <v>-5</v>
      </c>
      <c r="I180">
        <v>64</v>
      </c>
      <c r="J180" t="str">
        <f>HYPERLINK("https://climate.onebuilding.org/WMO_Region_4_North_and_Central_America/CUB_Cuba/CH_La_Habana/CUB_CH_Boyeros-Havana-Marti.Intl.AP.782240_TMYx.zip")</f>
        <v>https://climate.onebuilding.org/WMO_Region_4_North_and_Central_America/CUB_Cuba/CH_La_Habana/CUB_CH_Boyeros-Havana-Marti.Intl.AP.782240_TMYx.zip</v>
      </c>
    </row>
    <row r="181" spans="1:10" x14ac:dyDescent="0.25">
      <c r="A181" t="s">
        <v>119</v>
      </c>
      <c r="B181" t="s">
        <v>125</v>
      </c>
      <c r="C181" t="s">
        <v>126</v>
      </c>
      <c r="D181">
        <v>782290</v>
      </c>
      <c r="E181" t="s">
        <v>127</v>
      </c>
      <c r="F181">
        <v>23.033999999999999</v>
      </c>
      <c r="G181">
        <v>-81.435000000000002</v>
      </c>
      <c r="H181">
        <v>-5</v>
      </c>
      <c r="I181">
        <v>64</v>
      </c>
      <c r="J181" t="str">
        <f>HYPERLINK("https://climate.onebuilding.org/WMO_Region_4_North_and_Central_America/CUB_Cuba/MA_Matanzas/CUB_MA_Matanzas-Gomez.Intl.AP.782290_TMYx.2004-2018.zip")</f>
        <v>https://climate.onebuilding.org/WMO_Region_4_North_and_Central_America/CUB_Cuba/MA_Matanzas/CUB_MA_Matanzas-Gomez.Intl.AP.782290_TMYx.2004-2018.zip</v>
      </c>
    </row>
    <row r="182" spans="1:10" x14ac:dyDescent="0.25">
      <c r="A182" t="s">
        <v>119</v>
      </c>
      <c r="B182" t="s">
        <v>125</v>
      </c>
      <c r="C182" t="s">
        <v>126</v>
      </c>
      <c r="D182">
        <v>782290</v>
      </c>
      <c r="E182" t="s">
        <v>10</v>
      </c>
      <c r="F182">
        <v>23.033999999999999</v>
      </c>
      <c r="G182">
        <v>-81.435000000000002</v>
      </c>
      <c r="H182">
        <v>-5</v>
      </c>
      <c r="I182">
        <v>64</v>
      </c>
      <c r="J182" t="str">
        <f>HYPERLINK("https://climate.onebuilding.org/WMO_Region_4_North_and_Central_America/CUB_Cuba/MA_Matanzas/CUB_MA_Matanzas-Gomez.Intl.AP.782290_TMYx.2007-2021.zip")</f>
        <v>https://climate.onebuilding.org/WMO_Region_4_North_and_Central_America/CUB_Cuba/MA_Matanzas/CUB_MA_Matanzas-Gomez.Intl.AP.782290_TMYx.2007-2021.zip</v>
      </c>
    </row>
    <row r="183" spans="1:10" x14ac:dyDescent="0.25">
      <c r="A183" t="s">
        <v>119</v>
      </c>
      <c r="B183" t="s">
        <v>125</v>
      </c>
      <c r="C183" t="s">
        <v>126</v>
      </c>
      <c r="D183">
        <v>782290</v>
      </c>
      <c r="E183" t="s">
        <v>10</v>
      </c>
      <c r="F183">
        <v>23.033999999999999</v>
      </c>
      <c r="G183">
        <v>-81.435000000000002</v>
      </c>
      <c r="H183">
        <v>-5</v>
      </c>
      <c r="I183">
        <v>64</v>
      </c>
      <c r="J183" t="str">
        <f>HYPERLINK("https://climate.onebuilding.org/WMO_Region_4_North_and_Central_America/CUB_Cuba/MA_Matanzas/CUB_MA_Matanzas-Gomez.Intl.AP.782290_TMYx.2009-2023.zip")</f>
        <v>https://climate.onebuilding.org/WMO_Region_4_North_and_Central_America/CUB_Cuba/MA_Matanzas/CUB_MA_Matanzas-Gomez.Intl.AP.782290_TMYx.2009-2023.zip</v>
      </c>
    </row>
    <row r="184" spans="1:10" x14ac:dyDescent="0.25">
      <c r="A184" t="s">
        <v>119</v>
      </c>
      <c r="B184" t="s">
        <v>125</v>
      </c>
      <c r="C184" t="s">
        <v>126</v>
      </c>
      <c r="D184">
        <v>782290</v>
      </c>
      <c r="E184" t="s">
        <v>10</v>
      </c>
      <c r="F184">
        <v>23.033999999999999</v>
      </c>
      <c r="G184">
        <v>-81.435000000000002</v>
      </c>
      <c r="H184">
        <v>-5</v>
      </c>
      <c r="I184">
        <v>64</v>
      </c>
      <c r="J184" t="str">
        <f>HYPERLINK("https://climate.onebuilding.org/WMO_Region_4_North_and_Central_America/CUB_Cuba/MA_Matanzas/CUB_MA_Matanzas-Gomez.Intl.AP.782290_TMYx.zip")</f>
        <v>https://climate.onebuilding.org/WMO_Region_4_North_and_Central_America/CUB_Cuba/MA_Matanzas/CUB_MA_Matanzas-Gomez.Intl.AP.782290_TMYx.zip</v>
      </c>
    </row>
    <row r="185" spans="1:10" x14ac:dyDescent="0.25">
      <c r="A185" t="s">
        <v>119</v>
      </c>
      <c r="B185" t="s">
        <v>128</v>
      </c>
      <c r="C185" t="s">
        <v>129</v>
      </c>
      <c r="D185">
        <v>782390</v>
      </c>
      <c r="E185" t="s">
        <v>130</v>
      </c>
      <c r="F185">
        <v>22.533000000000001</v>
      </c>
      <c r="G185">
        <v>-78.367000000000004</v>
      </c>
      <c r="H185">
        <v>-5</v>
      </c>
      <c r="I185">
        <v>10</v>
      </c>
      <c r="J185" t="str">
        <f>HYPERLINK("https://climate.onebuilding.org/WMO_Region_4_North_and_Central_America/CUB_Cuba/CA_Ciego_de_Avila/CUB_CA_Cayo.Coco.782390_TMYx.2004-2018.zip")</f>
        <v>https://climate.onebuilding.org/WMO_Region_4_North_and_Central_America/CUB_Cuba/CA_Ciego_de_Avila/CUB_CA_Cayo.Coco.782390_TMYx.2004-2018.zip</v>
      </c>
    </row>
    <row r="186" spans="1:10" x14ac:dyDescent="0.25">
      <c r="A186" t="s">
        <v>119</v>
      </c>
      <c r="B186" t="s">
        <v>128</v>
      </c>
      <c r="C186" t="s">
        <v>129</v>
      </c>
      <c r="D186">
        <v>782390</v>
      </c>
      <c r="E186" t="s">
        <v>10</v>
      </c>
      <c r="F186">
        <v>22.539000000000001</v>
      </c>
      <c r="G186">
        <v>-78.367999999999995</v>
      </c>
      <c r="H186">
        <v>-5</v>
      </c>
      <c r="I186">
        <v>10</v>
      </c>
      <c r="J186" t="str">
        <f>HYPERLINK("https://climate.onebuilding.org/WMO_Region_4_North_and_Central_America/CUB_Cuba/CA_Ciego_de_Avila/CUB_CA_Cayo.Coco.782390_TMYx.2007-2021.zip")</f>
        <v>https://climate.onebuilding.org/WMO_Region_4_North_and_Central_America/CUB_Cuba/CA_Ciego_de_Avila/CUB_CA_Cayo.Coco.782390_TMYx.2007-2021.zip</v>
      </c>
    </row>
    <row r="187" spans="1:10" x14ac:dyDescent="0.25">
      <c r="A187" t="s">
        <v>119</v>
      </c>
      <c r="B187" t="s">
        <v>128</v>
      </c>
      <c r="C187" t="s">
        <v>129</v>
      </c>
      <c r="D187">
        <v>782390</v>
      </c>
      <c r="E187" t="s">
        <v>10</v>
      </c>
      <c r="F187">
        <v>22.539000000000001</v>
      </c>
      <c r="G187">
        <v>-78.367999999999995</v>
      </c>
      <c r="H187">
        <v>-5</v>
      </c>
      <c r="I187">
        <v>10</v>
      </c>
      <c r="J187" t="str">
        <f>HYPERLINK("https://climate.onebuilding.org/WMO_Region_4_North_and_Central_America/CUB_Cuba/CA_Ciego_de_Avila/CUB_CA_Cayo.Coco.782390_TMYx.2009-2023.zip")</f>
        <v>https://climate.onebuilding.org/WMO_Region_4_North_and_Central_America/CUB_Cuba/CA_Ciego_de_Avila/CUB_CA_Cayo.Coco.782390_TMYx.2009-2023.zip</v>
      </c>
    </row>
    <row r="188" spans="1:10" x14ac:dyDescent="0.25">
      <c r="A188" t="s">
        <v>119</v>
      </c>
      <c r="B188" t="s">
        <v>128</v>
      </c>
      <c r="C188" t="s">
        <v>129</v>
      </c>
      <c r="D188">
        <v>782390</v>
      </c>
      <c r="E188" t="s">
        <v>10</v>
      </c>
      <c r="F188">
        <v>22.539000000000001</v>
      </c>
      <c r="G188">
        <v>-78.367999999999995</v>
      </c>
      <c r="H188">
        <v>-5</v>
      </c>
      <c r="I188">
        <v>10</v>
      </c>
      <c r="J188" t="str">
        <f>HYPERLINK("https://climate.onebuilding.org/WMO_Region_4_North_and_Central_America/CUB_Cuba/CA_Ciego_de_Avila/CUB_CA_Cayo.Coco.782390_TMYx.zip")</f>
        <v>https://climate.onebuilding.org/WMO_Region_4_North_and_Central_America/CUB_Cuba/CA_Ciego_de_Avila/CUB_CA_Cayo.Coco.782390_TMYx.zip</v>
      </c>
    </row>
    <row r="189" spans="1:10" x14ac:dyDescent="0.25">
      <c r="A189" t="s">
        <v>119</v>
      </c>
      <c r="B189" t="s">
        <v>131</v>
      </c>
      <c r="C189" t="s">
        <v>132</v>
      </c>
      <c r="D189">
        <v>782430</v>
      </c>
      <c r="E189" t="s">
        <v>133</v>
      </c>
      <c r="F189">
        <v>22.466999999999999</v>
      </c>
      <c r="G189">
        <v>-79.983000000000004</v>
      </c>
      <c r="H189">
        <v>-5</v>
      </c>
      <c r="I189">
        <v>116</v>
      </c>
      <c r="J189" t="str">
        <f>HYPERLINK("https://climate.onebuilding.org/WMO_Region_4_North_and_Central_America/CUB_Cuba/VC_Villa_Clara/CUB_VC_Santa.Clara.Rural.782430_TMYx.2004-2018.zip")</f>
        <v>https://climate.onebuilding.org/WMO_Region_4_North_and_Central_America/CUB_Cuba/VC_Villa_Clara/CUB_VC_Santa.Clara.Rural.782430_TMYx.2004-2018.zip</v>
      </c>
    </row>
    <row r="190" spans="1:10" x14ac:dyDescent="0.25">
      <c r="A190" t="s">
        <v>119</v>
      </c>
      <c r="B190" t="s">
        <v>131</v>
      </c>
      <c r="C190" t="s">
        <v>132</v>
      </c>
      <c r="D190">
        <v>782430</v>
      </c>
      <c r="E190" t="s">
        <v>10</v>
      </c>
      <c r="F190">
        <v>22.466999999999999</v>
      </c>
      <c r="G190">
        <v>-79.983000000000004</v>
      </c>
      <c r="H190">
        <v>-5</v>
      </c>
      <c r="I190">
        <v>116</v>
      </c>
      <c r="J190" t="str">
        <f>HYPERLINK("https://climate.onebuilding.org/WMO_Region_4_North_and_Central_America/CUB_Cuba/VC_Villa_Clara/CUB_VC_Santa.Clara.Rural.782430_TMYx.2007-2021.zip")</f>
        <v>https://climate.onebuilding.org/WMO_Region_4_North_and_Central_America/CUB_Cuba/VC_Villa_Clara/CUB_VC_Santa.Clara.Rural.782430_TMYx.2007-2021.zip</v>
      </c>
    </row>
    <row r="191" spans="1:10" x14ac:dyDescent="0.25">
      <c r="A191" t="s">
        <v>119</v>
      </c>
      <c r="B191" t="s">
        <v>131</v>
      </c>
      <c r="C191" t="s">
        <v>132</v>
      </c>
      <c r="D191">
        <v>782430</v>
      </c>
      <c r="E191" t="s">
        <v>10</v>
      </c>
      <c r="F191">
        <v>22.466999999999999</v>
      </c>
      <c r="G191">
        <v>-79.983000000000004</v>
      </c>
      <c r="H191">
        <v>-5</v>
      </c>
      <c r="I191">
        <v>116</v>
      </c>
      <c r="J191" t="str">
        <f>HYPERLINK("https://climate.onebuilding.org/WMO_Region_4_North_and_Central_America/CUB_Cuba/VC_Villa_Clara/CUB_VC_Santa.Clara.Rural.782430_TMYx.2009-2023.zip")</f>
        <v>https://climate.onebuilding.org/WMO_Region_4_North_and_Central_America/CUB_Cuba/VC_Villa_Clara/CUB_VC_Santa.Clara.Rural.782430_TMYx.2009-2023.zip</v>
      </c>
    </row>
    <row r="192" spans="1:10" x14ac:dyDescent="0.25">
      <c r="A192" t="s">
        <v>119</v>
      </c>
      <c r="B192" t="s">
        <v>131</v>
      </c>
      <c r="C192" t="s">
        <v>132</v>
      </c>
      <c r="D192">
        <v>782430</v>
      </c>
      <c r="E192" t="s">
        <v>10</v>
      </c>
      <c r="F192">
        <v>22.466999999999999</v>
      </c>
      <c r="G192">
        <v>-79.983000000000004</v>
      </c>
      <c r="H192">
        <v>-5</v>
      </c>
      <c r="I192">
        <v>116</v>
      </c>
      <c r="J192" t="str">
        <f>HYPERLINK("https://climate.onebuilding.org/WMO_Region_4_North_and_Central_America/CUB_Cuba/VC_Villa_Clara/CUB_VC_Santa.Clara.Rural.782430_TMYx.zip")</f>
        <v>https://climate.onebuilding.org/WMO_Region_4_North_and_Central_America/CUB_Cuba/VC_Villa_Clara/CUB_VC_Santa.Clara.Rural.782430_TMYx.zip</v>
      </c>
    </row>
    <row r="193" spans="1:10" x14ac:dyDescent="0.25">
      <c r="A193" t="s">
        <v>119</v>
      </c>
      <c r="B193" t="s">
        <v>134</v>
      </c>
      <c r="C193" t="s">
        <v>135</v>
      </c>
      <c r="D193">
        <v>782440</v>
      </c>
      <c r="E193" t="s">
        <v>136</v>
      </c>
      <c r="F193">
        <v>22.15</v>
      </c>
      <c r="G193">
        <v>-80.414000000000001</v>
      </c>
      <c r="H193">
        <v>-5</v>
      </c>
      <c r="I193">
        <v>31.1</v>
      </c>
      <c r="J193" t="str">
        <f>HYPERLINK("https://climate.onebuilding.org/WMO_Region_4_North_and_Central_America/CUB_Cuba/CF_Cienfuegos/CUB_CF_Las.Villas-Gonzalez.AP.782440_TMYx.2004-2018.zip")</f>
        <v>https://climate.onebuilding.org/WMO_Region_4_North_and_Central_America/CUB_Cuba/CF_Cienfuegos/CUB_CF_Las.Villas-Gonzalez.AP.782440_TMYx.2004-2018.zip</v>
      </c>
    </row>
    <row r="194" spans="1:10" x14ac:dyDescent="0.25">
      <c r="A194" t="s">
        <v>119</v>
      </c>
      <c r="B194" t="s">
        <v>134</v>
      </c>
      <c r="C194" t="s">
        <v>135</v>
      </c>
      <c r="D194">
        <v>782440</v>
      </c>
      <c r="E194" t="s">
        <v>10</v>
      </c>
      <c r="F194">
        <v>22.15</v>
      </c>
      <c r="G194">
        <v>-80.414000000000001</v>
      </c>
      <c r="H194">
        <v>-5</v>
      </c>
      <c r="I194">
        <v>31.1</v>
      </c>
      <c r="J194" t="str">
        <f>HYPERLINK("https://climate.onebuilding.org/WMO_Region_4_North_and_Central_America/CUB_Cuba/CF_Cienfuegos/CUB_CF_Las.Villas-Gonzalez.AP.782440_TMYx.2007-2021.zip")</f>
        <v>https://climate.onebuilding.org/WMO_Region_4_North_and_Central_America/CUB_Cuba/CF_Cienfuegos/CUB_CF_Las.Villas-Gonzalez.AP.782440_TMYx.2007-2021.zip</v>
      </c>
    </row>
    <row r="195" spans="1:10" x14ac:dyDescent="0.25">
      <c r="A195" t="s">
        <v>119</v>
      </c>
      <c r="B195" t="s">
        <v>134</v>
      </c>
      <c r="C195" t="s">
        <v>135</v>
      </c>
      <c r="D195">
        <v>782440</v>
      </c>
      <c r="E195" t="s">
        <v>10</v>
      </c>
      <c r="F195">
        <v>22.15</v>
      </c>
      <c r="G195">
        <v>-80.414000000000001</v>
      </c>
      <c r="H195">
        <v>-5</v>
      </c>
      <c r="I195">
        <v>31.1</v>
      </c>
      <c r="J195" t="str">
        <f>HYPERLINK("https://climate.onebuilding.org/WMO_Region_4_North_and_Central_America/CUB_Cuba/CF_Cienfuegos/CUB_CF_Las.Villas-Gonzalez.AP.782440_TMYx.2009-2023.zip")</f>
        <v>https://climate.onebuilding.org/WMO_Region_4_North_and_Central_America/CUB_Cuba/CF_Cienfuegos/CUB_CF_Las.Villas-Gonzalez.AP.782440_TMYx.2009-2023.zip</v>
      </c>
    </row>
    <row r="196" spans="1:10" x14ac:dyDescent="0.25">
      <c r="A196" t="s">
        <v>119</v>
      </c>
      <c r="B196" t="s">
        <v>134</v>
      </c>
      <c r="C196" t="s">
        <v>135</v>
      </c>
      <c r="D196">
        <v>782440</v>
      </c>
      <c r="E196" t="s">
        <v>10</v>
      </c>
      <c r="F196">
        <v>22.15</v>
      </c>
      <c r="G196">
        <v>-80.414000000000001</v>
      </c>
      <c r="H196">
        <v>-5</v>
      </c>
      <c r="I196">
        <v>31.1</v>
      </c>
      <c r="J196" t="str">
        <f>HYPERLINK("https://climate.onebuilding.org/WMO_Region_4_North_and_Central_America/CUB_Cuba/CF_Cienfuegos/CUB_CF_Las.Villas-Gonzalez.AP.782440_TMYx.zip")</f>
        <v>https://climate.onebuilding.org/WMO_Region_4_North_and_Central_America/CUB_Cuba/CF_Cienfuegos/CUB_CF_Las.Villas-Gonzalez.AP.782440_TMYx.zip</v>
      </c>
    </row>
    <row r="197" spans="1:10" x14ac:dyDescent="0.25">
      <c r="A197" t="s">
        <v>119</v>
      </c>
      <c r="B197" t="s">
        <v>137</v>
      </c>
      <c r="C197" t="s">
        <v>138</v>
      </c>
      <c r="D197">
        <v>782550</v>
      </c>
      <c r="E197" t="s">
        <v>139</v>
      </c>
      <c r="F197">
        <v>21.42</v>
      </c>
      <c r="G197">
        <v>-77.847999999999999</v>
      </c>
      <c r="H197">
        <v>-5</v>
      </c>
      <c r="I197">
        <v>125.9</v>
      </c>
      <c r="J197" t="str">
        <f>HYPERLINK("https://climate.onebuilding.org/WMO_Region_4_North_and_Central_America/CUB_Cuba/CM_Camaguey/CUB_CM_Camaguey-Agramonte.Intl.AP.782550_TMYx.2004-2018.zip")</f>
        <v>https://climate.onebuilding.org/WMO_Region_4_North_and_Central_America/CUB_Cuba/CM_Camaguey/CUB_CM_Camaguey-Agramonte.Intl.AP.782550_TMYx.2004-2018.zip</v>
      </c>
    </row>
    <row r="198" spans="1:10" x14ac:dyDescent="0.25">
      <c r="A198" t="s">
        <v>119</v>
      </c>
      <c r="B198" t="s">
        <v>137</v>
      </c>
      <c r="C198" t="s">
        <v>138</v>
      </c>
      <c r="D198">
        <v>782550</v>
      </c>
      <c r="E198" t="s">
        <v>10</v>
      </c>
      <c r="F198">
        <v>21.42</v>
      </c>
      <c r="G198">
        <v>-77.847999999999999</v>
      </c>
      <c r="H198">
        <v>-5</v>
      </c>
      <c r="I198">
        <v>125.9</v>
      </c>
      <c r="J198" t="str">
        <f>HYPERLINK("https://climate.onebuilding.org/WMO_Region_4_North_and_Central_America/CUB_Cuba/CM_Camaguey/CUB_CM_Camaguey-Agramonte.Intl.AP.782550_TMYx.2007-2021.zip")</f>
        <v>https://climate.onebuilding.org/WMO_Region_4_North_and_Central_America/CUB_Cuba/CM_Camaguey/CUB_CM_Camaguey-Agramonte.Intl.AP.782550_TMYx.2007-2021.zip</v>
      </c>
    </row>
    <row r="199" spans="1:10" x14ac:dyDescent="0.25">
      <c r="A199" t="s">
        <v>119</v>
      </c>
      <c r="B199" t="s">
        <v>137</v>
      </c>
      <c r="C199" t="s">
        <v>138</v>
      </c>
      <c r="D199">
        <v>782550</v>
      </c>
      <c r="E199" t="s">
        <v>10</v>
      </c>
      <c r="F199">
        <v>21.42</v>
      </c>
      <c r="G199">
        <v>-77.847999999999999</v>
      </c>
      <c r="H199">
        <v>-5</v>
      </c>
      <c r="I199">
        <v>125.9</v>
      </c>
      <c r="J199" t="str">
        <f>HYPERLINK("https://climate.onebuilding.org/WMO_Region_4_North_and_Central_America/CUB_Cuba/CM_Camaguey/CUB_CM_Camaguey-Agramonte.Intl.AP.782550_TMYx.2009-2023.zip")</f>
        <v>https://climate.onebuilding.org/WMO_Region_4_North_and_Central_America/CUB_Cuba/CM_Camaguey/CUB_CM_Camaguey-Agramonte.Intl.AP.782550_TMYx.2009-2023.zip</v>
      </c>
    </row>
    <row r="200" spans="1:10" x14ac:dyDescent="0.25">
      <c r="A200" t="s">
        <v>119</v>
      </c>
      <c r="B200" t="s">
        <v>137</v>
      </c>
      <c r="C200" t="s">
        <v>138</v>
      </c>
      <c r="D200">
        <v>782550</v>
      </c>
      <c r="E200" t="s">
        <v>10</v>
      </c>
      <c r="F200">
        <v>21.42</v>
      </c>
      <c r="G200">
        <v>-77.847999999999999</v>
      </c>
      <c r="H200">
        <v>-5</v>
      </c>
      <c r="I200">
        <v>125.9</v>
      </c>
      <c r="J200" t="str">
        <f>HYPERLINK("https://climate.onebuilding.org/WMO_Region_4_North_and_Central_America/CUB_Cuba/CM_Camaguey/CUB_CM_Camaguey-Agramonte.Intl.AP.782550_TMYx.zip")</f>
        <v>https://climate.onebuilding.org/WMO_Region_4_North_and_Central_America/CUB_Cuba/CM_Camaguey/CUB_CM_Camaguey-Agramonte.Intl.AP.782550_TMYx.zip</v>
      </c>
    </row>
    <row r="201" spans="1:10" x14ac:dyDescent="0.25">
      <c r="A201" t="s">
        <v>119</v>
      </c>
      <c r="B201" t="s">
        <v>128</v>
      </c>
      <c r="C201" t="s">
        <v>140</v>
      </c>
      <c r="D201">
        <v>782561</v>
      </c>
      <c r="E201" t="s">
        <v>141</v>
      </c>
      <c r="F201">
        <v>22.460999999999999</v>
      </c>
      <c r="G201">
        <v>-78.328000000000003</v>
      </c>
      <c r="H201">
        <v>-5</v>
      </c>
      <c r="I201">
        <v>4</v>
      </c>
      <c r="J201" t="str">
        <f>HYPERLINK("https://climate.onebuilding.org/WMO_Region_4_North_and_Central_America/CUB_Cuba/CA_Ciego_de_Avila/CUB_CA_Del.Rey.Intl.AP.782561_TMYx.2004-2018.zip")</f>
        <v>https://climate.onebuilding.org/WMO_Region_4_North_and_Central_America/CUB_Cuba/CA_Ciego_de_Avila/CUB_CA_Del.Rey.Intl.AP.782561_TMYx.2004-2018.zip</v>
      </c>
    </row>
    <row r="202" spans="1:10" x14ac:dyDescent="0.25">
      <c r="A202" t="s">
        <v>119</v>
      </c>
      <c r="B202" t="s">
        <v>128</v>
      </c>
      <c r="C202" t="s">
        <v>140</v>
      </c>
      <c r="D202">
        <v>782561</v>
      </c>
      <c r="E202" t="s">
        <v>10</v>
      </c>
      <c r="F202">
        <v>22.460999999999999</v>
      </c>
      <c r="G202">
        <v>-78.328000000000003</v>
      </c>
      <c r="H202">
        <v>-5</v>
      </c>
      <c r="I202">
        <v>4</v>
      </c>
      <c r="J202" t="str">
        <f>HYPERLINK("https://climate.onebuilding.org/WMO_Region_4_North_and_Central_America/CUB_Cuba/CA_Ciego_de_Avila/CUB_CA_Del.Rey.Intl.AP.782561_TMYx.2007-2021.zip")</f>
        <v>https://climate.onebuilding.org/WMO_Region_4_North_and_Central_America/CUB_Cuba/CA_Ciego_de_Avila/CUB_CA_Del.Rey.Intl.AP.782561_TMYx.2007-2021.zip</v>
      </c>
    </row>
    <row r="203" spans="1:10" x14ac:dyDescent="0.25">
      <c r="A203" t="s">
        <v>119</v>
      </c>
      <c r="B203" t="s">
        <v>128</v>
      </c>
      <c r="C203" t="s">
        <v>140</v>
      </c>
      <c r="D203">
        <v>782561</v>
      </c>
      <c r="E203" t="s">
        <v>10</v>
      </c>
      <c r="F203">
        <v>22.460999999999999</v>
      </c>
      <c r="G203">
        <v>-78.328000000000003</v>
      </c>
      <c r="H203">
        <v>-5</v>
      </c>
      <c r="I203">
        <v>4</v>
      </c>
      <c r="J203" t="str">
        <f>HYPERLINK("https://climate.onebuilding.org/WMO_Region_4_North_and_Central_America/CUB_Cuba/CA_Ciego_de_Avila/CUB_CA_Del.Rey.Intl.AP.782561_TMYx.2009-2023.zip")</f>
        <v>https://climate.onebuilding.org/WMO_Region_4_North_and_Central_America/CUB_Cuba/CA_Ciego_de_Avila/CUB_CA_Del.Rey.Intl.AP.782561_TMYx.2009-2023.zip</v>
      </c>
    </row>
    <row r="204" spans="1:10" x14ac:dyDescent="0.25">
      <c r="A204" t="s">
        <v>119</v>
      </c>
      <c r="B204" t="s">
        <v>128</v>
      </c>
      <c r="C204" t="s">
        <v>140</v>
      </c>
      <c r="D204">
        <v>782561</v>
      </c>
      <c r="E204" t="s">
        <v>10</v>
      </c>
      <c r="F204">
        <v>22.460999999999999</v>
      </c>
      <c r="G204">
        <v>-78.328000000000003</v>
      </c>
      <c r="H204">
        <v>-5</v>
      </c>
      <c r="I204">
        <v>4</v>
      </c>
      <c r="J204" t="str">
        <f>HYPERLINK("https://climate.onebuilding.org/WMO_Region_4_North_and_Central_America/CUB_Cuba/CA_Ciego_de_Avila/CUB_CA_Del.Rey.Intl.AP.782561_TMYx.zip")</f>
        <v>https://climate.onebuilding.org/WMO_Region_4_North_and_Central_America/CUB_Cuba/CA_Ciego_de_Avila/CUB_CA_Del.Rey.Intl.AP.782561_TMYx.zip</v>
      </c>
    </row>
    <row r="205" spans="1:10" x14ac:dyDescent="0.25">
      <c r="A205" t="s">
        <v>119</v>
      </c>
      <c r="B205" t="s">
        <v>142</v>
      </c>
      <c r="C205" t="s">
        <v>143</v>
      </c>
      <c r="D205">
        <v>782623</v>
      </c>
      <c r="E205" t="s">
        <v>144</v>
      </c>
      <c r="F205">
        <v>20.786000000000001</v>
      </c>
      <c r="G205">
        <v>-76.314999999999998</v>
      </c>
      <c r="H205">
        <v>-5</v>
      </c>
      <c r="I205">
        <v>110</v>
      </c>
      <c r="J205" t="str">
        <f>HYPERLINK("https://climate.onebuilding.org/WMO_Region_4_North_and_Central_America/CUB_Cuba/HO_Holguin/CUB_HO_Holguin-Pais.Intl.AP.782623_TMYx.2004-2018.zip")</f>
        <v>https://climate.onebuilding.org/WMO_Region_4_North_and_Central_America/CUB_Cuba/HO_Holguin/CUB_HO_Holguin-Pais.Intl.AP.782623_TMYx.2004-2018.zip</v>
      </c>
    </row>
    <row r="206" spans="1:10" x14ac:dyDescent="0.25">
      <c r="A206" t="s">
        <v>119</v>
      </c>
      <c r="B206" t="s">
        <v>142</v>
      </c>
      <c r="C206" t="s">
        <v>143</v>
      </c>
      <c r="D206">
        <v>782623</v>
      </c>
      <c r="E206" t="s">
        <v>10</v>
      </c>
      <c r="F206">
        <v>20.786000000000001</v>
      </c>
      <c r="G206">
        <v>-76.314999999999998</v>
      </c>
      <c r="H206">
        <v>-5</v>
      </c>
      <c r="I206">
        <v>110</v>
      </c>
      <c r="J206" t="str">
        <f>HYPERLINK("https://climate.onebuilding.org/WMO_Region_4_North_and_Central_America/CUB_Cuba/HO_Holguin/CUB_HO_Holguin-Pais.Intl.AP.782623_TMYx.2007-2021.zip")</f>
        <v>https://climate.onebuilding.org/WMO_Region_4_North_and_Central_America/CUB_Cuba/HO_Holguin/CUB_HO_Holguin-Pais.Intl.AP.782623_TMYx.2007-2021.zip</v>
      </c>
    </row>
    <row r="207" spans="1:10" x14ac:dyDescent="0.25">
      <c r="A207" t="s">
        <v>119</v>
      </c>
      <c r="B207" t="s">
        <v>142</v>
      </c>
      <c r="C207" t="s">
        <v>143</v>
      </c>
      <c r="D207">
        <v>782623</v>
      </c>
      <c r="E207" t="s">
        <v>10</v>
      </c>
      <c r="F207">
        <v>20.786000000000001</v>
      </c>
      <c r="G207">
        <v>-76.314999999999998</v>
      </c>
      <c r="H207">
        <v>-5</v>
      </c>
      <c r="I207">
        <v>110</v>
      </c>
      <c r="J207" t="str">
        <f>HYPERLINK("https://climate.onebuilding.org/WMO_Region_4_North_and_Central_America/CUB_Cuba/HO_Holguin/CUB_HO_Holguin-Pais.Intl.AP.782623_TMYx.2009-2023.zip")</f>
        <v>https://climate.onebuilding.org/WMO_Region_4_North_and_Central_America/CUB_Cuba/HO_Holguin/CUB_HO_Holguin-Pais.Intl.AP.782623_TMYx.2009-2023.zip</v>
      </c>
    </row>
    <row r="208" spans="1:10" x14ac:dyDescent="0.25">
      <c r="A208" t="s">
        <v>119</v>
      </c>
      <c r="B208" t="s">
        <v>142</v>
      </c>
      <c r="C208" t="s">
        <v>143</v>
      </c>
      <c r="D208">
        <v>782623</v>
      </c>
      <c r="E208" t="s">
        <v>10</v>
      </c>
      <c r="F208">
        <v>20.786000000000001</v>
      </c>
      <c r="G208">
        <v>-76.314999999999998</v>
      </c>
      <c r="H208">
        <v>-5</v>
      </c>
      <c r="I208">
        <v>110</v>
      </c>
      <c r="J208" t="str">
        <f>HYPERLINK("https://climate.onebuilding.org/WMO_Region_4_North_and_Central_America/CUB_Cuba/HO_Holguin/CUB_HO_Holguin-Pais.Intl.AP.782623_TMYx.zip")</f>
        <v>https://climate.onebuilding.org/WMO_Region_4_North_and_Central_America/CUB_Cuba/HO_Holguin/CUB_HO_Holguin-Pais.Intl.AP.782623_TMYx.zip</v>
      </c>
    </row>
    <row r="209" spans="1:10" x14ac:dyDescent="0.25">
      <c r="A209" t="s">
        <v>119</v>
      </c>
      <c r="B209" t="s">
        <v>89</v>
      </c>
      <c r="C209" t="s">
        <v>145</v>
      </c>
      <c r="D209">
        <v>782640</v>
      </c>
      <c r="E209" t="s">
        <v>146</v>
      </c>
      <c r="F209">
        <v>19.97</v>
      </c>
      <c r="G209">
        <v>-75.834999999999994</v>
      </c>
      <c r="H209">
        <v>-5</v>
      </c>
      <c r="I209">
        <v>75.900000000000006</v>
      </c>
      <c r="J209" t="str">
        <f>HYPERLINK("https://climate.onebuilding.org/WMO_Region_4_North_and_Central_America/CUB_Cuba/SC_Santiago_de_Cuba/CUB_SC_Santiago-Maceo.Intl.AP.782640_TMYx.2004-2018.zip")</f>
        <v>https://climate.onebuilding.org/WMO_Region_4_North_and_Central_America/CUB_Cuba/SC_Santiago_de_Cuba/CUB_SC_Santiago-Maceo.Intl.AP.782640_TMYx.2004-2018.zip</v>
      </c>
    </row>
    <row r="210" spans="1:10" x14ac:dyDescent="0.25">
      <c r="A210" t="s">
        <v>119</v>
      </c>
      <c r="B210" t="s">
        <v>89</v>
      </c>
      <c r="C210" t="s">
        <v>145</v>
      </c>
      <c r="D210">
        <v>782640</v>
      </c>
      <c r="E210" t="s">
        <v>10</v>
      </c>
      <c r="F210">
        <v>19.97</v>
      </c>
      <c r="G210">
        <v>-75.834999999999994</v>
      </c>
      <c r="H210">
        <v>-5</v>
      </c>
      <c r="I210">
        <v>75.900000000000006</v>
      </c>
      <c r="J210" t="str">
        <f>HYPERLINK("https://climate.onebuilding.org/WMO_Region_4_North_and_Central_America/CUB_Cuba/SC_Santiago_de_Cuba/CUB_SC_Santiago-Maceo.Intl.AP.782640_TMYx.2007-2021.zip")</f>
        <v>https://climate.onebuilding.org/WMO_Region_4_North_and_Central_America/CUB_Cuba/SC_Santiago_de_Cuba/CUB_SC_Santiago-Maceo.Intl.AP.782640_TMYx.2007-2021.zip</v>
      </c>
    </row>
    <row r="211" spans="1:10" x14ac:dyDescent="0.25">
      <c r="A211" t="s">
        <v>119</v>
      </c>
      <c r="B211" t="s">
        <v>89</v>
      </c>
      <c r="C211" t="s">
        <v>145</v>
      </c>
      <c r="D211">
        <v>782640</v>
      </c>
      <c r="E211" t="s">
        <v>10</v>
      </c>
      <c r="F211">
        <v>19.97</v>
      </c>
      <c r="G211">
        <v>-75.834999999999994</v>
      </c>
      <c r="H211">
        <v>-5</v>
      </c>
      <c r="I211">
        <v>75.900000000000006</v>
      </c>
      <c r="J211" t="str">
        <f>HYPERLINK("https://climate.onebuilding.org/WMO_Region_4_North_and_Central_America/CUB_Cuba/SC_Santiago_de_Cuba/CUB_SC_Santiago-Maceo.Intl.AP.782640_TMYx.2009-2023.zip")</f>
        <v>https://climate.onebuilding.org/WMO_Region_4_North_and_Central_America/CUB_Cuba/SC_Santiago_de_Cuba/CUB_SC_Santiago-Maceo.Intl.AP.782640_TMYx.2009-2023.zip</v>
      </c>
    </row>
    <row r="212" spans="1:10" x14ac:dyDescent="0.25">
      <c r="A212" t="s">
        <v>119</v>
      </c>
      <c r="B212" t="s">
        <v>89</v>
      </c>
      <c r="C212" t="s">
        <v>145</v>
      </c>
      <c r="D212">
        <v>782640</v>
      </c>
      <c r="E212" t="s">
        <v>10</v>
      </c>
      <c r="F212">
        <v>19.97</v>
      </c>
      <c r="G212">
        <v>-75.834999999999994</v>
      </c>
      <c r="H212">
        <v>-5</v>
      </c>
      <c r="I212">
        <v>75.900000000000006</v>
      </c>
      <c r="J212" t="str">
        <f>HYPERLINK("https://climate.onebuilding.org/WMO_Region_4_North_and_Central_America/CUB_Cuba/SC_Santiago_de_Cuba/CUB_SC_Santiago-Maceo.Intl.AP.782640_TMYx.zip")</f>
        <v>https://climate.onebuilding.org/WMO_Region_4_North_and_Central_America/CUB_Cuba/SC_Santiago_de_Cuba/CUB_SC_Santiago-Maceo.Intl.AP.782640_TMYx.zip</v>
      </c>
    </row>
    <row r="213" spans="1:10" x14ac:dyDescent="0.25">
      <c r="A213" t="s">
        <v>119</v>
      </c>
      <c r="B213" t="s">
        <v>142</v>
      </c>
      <c r="C213" t="s">
        <v>147</v>
      </c>
      <c r="D213">
        <v>782650</v>
      </c>
      <c r="E213" t="s">
        <v>10</v>
      </c>
      <c r="F213">
        <v>21.067</v>
      </c>
      <c r="G213">
        <v>-75.617000000000004</v>
      </c>
      <c r="H213">
        <v>-5</v>
      </c>
      <c r="I213">
        <v>4</v>
      </c>
      <c r="J213" t="str">
        <f>HYPERLINK("https://climate.onebuilding.org/WMO_Region_4_North_and_Central_America/CUB_Cuba/HO_Holguin/CUB_HO_Cabo.Lurecia.782650_TMYx.2007-2021.zip")</f>
        <v>https://climate.onebuilding.org/WMO_Region_4_North_and_Central_America/CUB_Cuba/HO_Holguin/CUB_HO_Cabo.Lurecia.782650_TMYx.2007-2021.zip</v>
      </c>
    </row>
    <row r="214" spans="1:10" x14ac:dyDescent="0.25">
      <c r="A214" t="s">
        <v>119</v>
      </c>
      <c r="B214" t="s">
        <v>142</v>
      </c>
      <c r="C214" t="s">
        <v>147</v>
      </c>
      <c r="D214">
        <v>782650</v>
      </c>
      <c r="E214" t="s">
        <v>10</v>
      </c>
      <c r="F214">
        <v>21.067</v>
      </c>
      <c r="G214">
        <v>-75.617000000000004</v>
      </c>
      <c r="H214">
        <v>-5</v>
      </c>
      <c r="I214">
        <v>4</v>
      </c>
      <c r="J214" t="str">
        <f>HYPERLINK("https://climate.onebuilding.org/WMO_Region_4_North_and_Central_America/CUB_Cuba/HO_Holguin/CUB_HO_Cabo.Lurecia.782650_TMYx.2009-2023.zip")</f>
        <v>https://climate.onebuilding.org/WMO_Region_4_North_and_Central_America/CUB_Cuba/HO_Holguin/CUB_HO_Cabo.Lurecia.782650_TMYx.2009-2023.zip</v>
      </c>
    </row>
    <row r="215" spans="1:10" x14ac:dyDescent="0.25">
      <c r="A215" t="s">
        <v>119</v>
      </c>
      <c r="B215" t="s">
        <v>142</v>
      </c>
      <c r="C215" t="s">
        <v>147</v>
      </c>
      <c r="D215">
        <v>782650</v>
      </c>
      <c r="E215" t="s">
        <v>10</v>
      </c>
      <c r="F215">
        <v>21.067</v>
      </c>
      <c r="G215">
        <v>-75.617000000000004</v>
      </c>
      <c r="H215">
        <v>-5</v>
      </c>
      <c r="I215">
        <v>4</v>
      </c>
      <c r="J215" t="str">
        <f>HYPERLINK("https://climate.onebuilding.org/WMO_Region_4_North_and_Central_America/CUB_Cuba/HO_Holguin/CUB_HO_Cabo.Lurecia.782650_TMYx.zip")</f>
        <v>https://climate.onebuilding.org/WMO_Region_4_North_and_Central_America/CUB_Cuba/HO_Holguin/CUB_HO_Cabo.Lurecia.782650_TMYx.zip</v>
      </c>
    </row>
    <row r="216" spans="1:10" x14ac:dyDescent="0.25">
      <c r="A216" t="s">
        <v>119</v>
      </c>
      <c r="B216" t="s">
        <v>102</v>
      </c>
      <c r="C216" t="s">
        <v>148</v>
      </c>
      <c r="D216">
        <v>782670</v>
      </c>
      <c r="E216" t="s">
        <v>10</v>
      </c>
      <c r="F216">
        <v>20.085000000000001</v>
      </c>
      <c r="G216">
        <v>-75.158000000000001</v>
      </c>
      <c r="H216">
        <v>-5</v>
      </c>
      <c r="I216">
        <v>17.100000000000001</v>
      </c>
      <c r="J216" t="str">
        <f>HYPERLINK("https://climate.onebuilding.org/WMO_Region_4_North_and_Central_America/CUB_Cuba/GU_Guantanamo/CUB_GU_Mariana.Grajales.782670_TMYx.2007-2021.zip")</f>
        <v>https://climate.onebuilding.org/WMO_Region_4_North_and_Central_America/CUB_Cuba/GU_Guantanamo/CUB_GU_Mariana.Grajales.782670_TMYx.2007-2021.zip</v>
      </c>
    </row>
    <row r="217" spans="1:10" x14ac:dyDescent="0.25">
      <c r="A217" t="s">
        <v>119</v>
      </c>
      <c r="B217" t="s">
        <v>102</v>
      </c>
      <c r="C217" t="s">
        <v>148</v>
      </c>
      <c r="D217">
        <v>782670</v>
      </c>
      <c r="E217" t="s">
        <v>10</v>
      </c>
      <c r="F217">
        <v>20.085000000000001</v>
      </c>
      <c r="G217">
        <v>-75.158000000000001</v>
      </c>
      <c r="H217">
        <v>-5</v>
      </c>
      <c r="I217">
        <v>17.100000000000001</v>
      </c>
      <c r="J217" t="str">
        <f>HYPERLINK("https://climate.onebuilding.org/WMO_Region_4_North_and_Central_America/CUB_Cuba/GU_Guantanamo/CUB_GU_Mariana.Grajales.782670_TMYx.2009-2023.zip")</f>
        <v>https://climate.onebuilding.org/WMO_Region_4_North_and_Central_America/CUB_Cuba/GU_Guantanamo/CUB_GU_Mariana.Grajales.782670_TMYx.2009-2023.zip</v>
      </c>
    </row>
    <row r="218" spans="1:10" x14ac:dyDescent="0.25">
      <c r="A218" t="s">
        <v>119</v>
      </c>
      <c r="B218" t="s">
        <v>102</v>
      </c>
      <c r="C218" t="s">
        <v>148</v>
      </c>
      <c r="D218">
        <v>782670</v>
      </c>
      <c r="E218" t="s">
        <v>10</v>
      </c>
      <c r="F218">
        <v>20.085000000000001</v>
      </c>
      <c r="G218">
        <v>-75.158000000000001</v>
      </c>
      <c r="H218">
        <v>-5</v>
      </c>
      <c r="I218">
        <v>17.100000000000001</v>
      </c>
      <c r="J218" t="str">
        <f>HYPERLINK("https://climate.onebuilding.org/WMO_Region_4_North_and_Central_America/CUB_Cuba/GU_Guantanamo/CUB_GU_Mariana.Grajales.782670_TMYx.zip")</f>
        <v>https://climate.onebuilding.org/WMO_Region_4_North_and_Central_America/CUB_Cuba/GU_Guantanamo/CUB_GU_Mariana.Grajales.782670_TMYx.zip</v>
      </c>
    </row>
    <row r="219" spans="1:10" x14ac:dyDescent="0.25">
      <c r="A219" t="s">
        <v>119</v>
      </c>
      <c r="B219" t="s">
        <v>102</v>
      </c>
      <c r="C219" t="s">
        <v>149</v>
      </c>
      <c r="D219">
        <v>782680</v>
      </c>
      <c r="E219" t="s">
        <v>10</v>
      </c>
      <c r="F219">
        <v>20.364999999999998</v>
      </c>
      <c r="G219">
        <v>-74.506</v>
      </c>
      <c r="H219">
        <v>-5</v>
      </c>
      <c r="I219">
        <v>7.9</v>
      </c>
      <c r="J219" t="str">
        <f>HYPERLINK("https://climate.onebuilding.org/WMO_Region_4_North_and_Central_America/CUB_Cuba/GU_Guantanamo/CUB_GU_Gustavo.Rizo.782680_TMYx.2007-2021.zip")</f>
        <v>https://climate.onebuilding.org/WMO_Region_4_North_and_Central_America/CUB_Cuba/GU_Guantanamo/CUB_GU_Gustavo.Rizo.782680_TMYx.2007-2021.zip</v>
      </c>
    </row>
    <row r="220" spans="1:10" x14ac:dyDescent="0.25">
      <c r="A220" t="s">
        <v>119</v>
      </c>
      <c r="B220" t="s">
        <v>102</v>
      </c>
      <c r="C220" t="s">
        <v>149</v>
      </c>
      <c r="D220">
        <v>782680</v>
      </c>
      <c r="E220" t="s">
        <v>10</v>
      </c>
      <c r="F220">
        <v>20.364999999999998</v>
      </c>
      <c r="G220">
        <v>-74.506</v>
      </c>
      <c r="H220">
        <v>-5</v>
      </c>
      <c r="I220">
        <v>7.9</v>
      </c>
      <c r="J220" t="str">
        <f>HYPERLINK("https://climate.onebuilding.org/WMO_Region_4_North_and_Central_America/CUB_Cuba/GU_Guantanamo/CUB_GU_Gustavo.Rizo.782680_TMYx.2009-2023.zip")</f>
        <v>https://climate.onebuilding.org/WMO_Region_4_North_and_Central_America/CUB_Cuba/GU_Guantanamo/CUB_GU_Gustavo.Rizo.782680_TMYx.2009-2023.zip</v>
      </c>
    </row>
    <row r="221" spans="1:10" x14ac:dyDescent="0.25">
      <c r="A221" t="s">
        <v>119</v>
      </c>
      <c r="B221" t="s">
        <v>102</v>
      </c>
      <c r="C221" t="s">
        <v>149</v>
      </c>
      <c r="D221">
        <v>782680</v>
      </c>
      <c r="E221" t="s">
        <v>10</v>
      </c>
      <c r="F221">
        <v>20.364999999999998</v>
      </c>
      <c r="G221">
        <v>-74.506</v>
      </c>
      <c r="H221">
        <v>-5</v>
      </c>
      <c r="I221">
        <v>7.9</v>
      </c>
      <c r="J221" t="str">
        <f>HYPERLINK("https://climate.onebuilding.org/WMO_Region_4_North_and_Central_America/CUB_Cuba/GU_Guantanamo/CUB_GU_Gustavo.Rizo.782680_TMYx.zip")</f>
        <v>https://climate.onebuilding.org/WMO_Region_4_North_and_Central_America/CUB_Cuba/GU_Guantanamo/CUB_GU_Gustavo.Rizo.782680_TMYx.zip</v>
      </c>
    </row>
    <row r="222" spans="1:10" x14ac:dyDescent="0.25">
      <c r="A222" t="s">
        <v>119</v>
      </c>
      <c r="B222" t="s">
        <v>142</v>
      </c>
      <c r="C222" t="s">
        <v>150</v>
      </c>
      <c r="D222">
        <v>782684</v>
      </c>
      <c r="E222" t="s">
        <v>10</v>
      </c>
      <c r="F222">
        <v>20.654</v>
      </c>
      <c r="G222">
        <v>-74.921999999999997</v>
      </c>
      <c r="H222">
        <v>-5</v>
      </c>
      <c r="I222">
        <v>4.9000000000000004</v>
      </c>
      <c r="J222" t="str">
        <f>HYPERLINK("https://climate.onebuilding.org/WMO_Region_4_North_and_Central_America/CUB_Cuba/HO_Holguin/CUB_HO_Orestes.Acosta.782684_TMYx.2007-2021.zip")</f>
        <v>https://climate.onebuilding.org/WMO_Region_4_North_and_Central_America/CUB_Cuba/HO_Holguin/CUB_HO_Orestes.Acosta.782684_TMYx.2007-2021.zip</v>
      </c>
    </row>
    <row r="223" spans="1:10" x14ac:dyDescent="0.25">
      <c r="A223" t="s">
        <v>119</v>
      </c>
      <c r="B223" t="s">
        <v>142</v>
      </c>
      <c r="C223" t="s">
        <v>150</v>
      </c>
      <c r="D223">
        <v>782684</v>
      </c>
      <c r="E223" t="s">
        <v>10</v>
      </c>
      <c r="F223">
        <v>20.654</v>
      </c>
      <c r="G223">
        <v>-74.921999999999997</v>
      </c>
      <c r="H223">
        <v>-5</v>
      </c>
      <c r="I223">
        <v>4.9000000000000004</v>
      </c>
      <c r="J223" t="str">
        <f>HYPERLINK("https://climate.onebuilding.org/WMO_Region_4_North_and_Central_America/CUB_Cuba/HO_Holguin/CUB_HO_Orestes.Acosta.782684_TMYx.2009-2023.zip")</f>
        <v>https://climate.onebuilding.org/WMO_Region_4_North_and_Central_America/CUB_Cuba/HO_Holguin/CUB_HO_Orestes.Acosta.782684_TMYx.2009-2023.zip</v>
      </c>
    </row>
    <row r="224" spans="1:10" x14ac:dyDescent="0.25">
      <c r="A224" t="s">
        <v>119</v>
      </c>
      <c r="B224" t="s">
        <v>142</v>
      </c>
      <c r="C224" t="s">
        <v>150</v>
      </c>
      <c r="D224">
        <v>782684</v>
      </c>
      <c r="E224" t="s">
        <v>10</v>
      </c>
      <c r="F224">
        <v>20.654</v>
      </c>
      <c r="G224">
        <v>-74.921999999999997</v>
      </c>
      <c r="H224">
        <v>-5</v>
      </c>
      <c r="I224">
        <v>4.9000000000000004</v>
      </c>
      <c r="J224" t="str">
        <f>HYPERLINK("https://climate.onebuilding.org/WMO_Region_4_North_and_Central_America/CUB_Cuba/HO_Holguin/CUB_HO_Orestes.Acosta.782684_TMYx.zip")</f>
        <v>https://climate.onebuilding.org/WMO_Region_4_North_and_Central_America/CUB_Cuba/HO_Holguin/CUB_HO_Orestes.Acosta.782684_TMYx.zip</v>
      </c>
    </row>
    <row r="225" spans="1:10" x14ac:dyDescent="0.25">
      <c r="A225" t="s">
        <v>119</v>
      </c>
      <c r="B225" t="s">
        <v>151</v>
      </c>
      <c r="C225" t="s">
        <v>152</v>
      </c>
      <c r="D225">
        <v>783100</v>
      </c>
      <c r="E225" t="s">
        <v>153</v>
      </c>
      <c r="F225">
        <v>21.867000000000001</v>
      </c>
      <c r="G225">
        <v>-84.95</v>
      </c>
      <c r="H225">
        <v>-5</v>
      </c>
      <c r="I225">
        <v>8</v>
      </c>
      <c r="J225" t="str">
        <f>HYPERLINK("https://climate.onebuilding.org/WMO_Region_4_North_and_Central_America/CUB_Cuba/PD_Pinar_del_Rio/CUB_PD_Cabo.San.Antonio.Sandino.783100_TMYx.2004-2018.zip")</f>
        <v>https://climate.onebuilding.org/WMO_Region_4_North_and_Central_America/CUB_Cuba/PD_Pinar_del_Rio/CUB_PD_Cabo.San.Antonio.Sandino.783100_TMYx.2004-2018.zip</v>
      </c>
    </row>
    <row r="226" spans="1:10" x14ac:dyDescent="0.25">
      <c r="A226" t="s">
        <v>119</v>
      </c>
      <c r="B226" t="s">
        <v>151</v>
      </c>
      <c r="C226" t="s">
        <v>152</v>
      </c>
      <c r="D226">
        <v>783100</v>
      </c>
      <c r="E226" t="s">
        <v>10</v>
      </c>
      <c r="F226">
        <v>21.867000000000001</v>
      </c>
      <c r="G226">
        <v>-84.95</v>
      </c>
      <c r="H226">
        <v>-5</v>
      </c>
      <c r="I226">
        <v>8</v>
      </c>
      <c r="J226" t="str">
        <f>HYPERLINK("https://climate.onebuilding.org/WMO_Region_4_North_and_Central_America/CUB_Cuba/PD_Pinar_del_Rio/CUB_PD_Cabo.San.Antonio.Sandino.783100_TMYx.2007-2021.zip")</f>
        <v>https://climate.onebuilding.org/WMO_Region_4_North_and_Central_America/CUB_Cuba/PD_Pinar_del_Rio/CUB_PD_Cabo.San.Antonio.Sandino.783100_TMYx.2007-2021.zip</v>
      </c>
    </row>
    <row r="227" spans="1:10" x14ac:dyDescent="0.25">
      <c r="A227" t="s">
        <v>119</v>
      </c>
      <c r="B227" t="s">
        <v>151</v>
      </c>
      <c r="C227" t="s">
        <v>152</v>
      </c>
      <c r="D227">
        <v>783100</v>
      </c>
      <c r="E227" t="s">
        <v>10</v>
      </c>
      <c r="F227">
        <v>21.867000000000001</v>
      </c>
      <c r="G227">
        <v>-84.95</v>
      </c>
      <c r="H227">
        <v>-5</v>
      </c>
      <c r="I227">
        <v>8</v>
      </c>
      <c r="J227" t="str">
        <f>HYPERLINK("https://climate.onebuilding.org/WMO_Region_4_North_and_Central_America/CUB_Cuba/PD_Pinar_del_Rio/CUB_PD_Cabo.San.Antonio.Sandino.783100_TMYx.2009-2023.zip")</f>
        <v>https://climate.onebuilding.org/WMO_Region_4_North_and_Central_America/CUB_Cuba/PD_Pinar_del_Rio/CUB_PD_Cabo.San.Antonio.Sandino.783100_TMYx.2009-2023.zip</v>
      </c>
    </row>
    <row r="228" spans="1:10" x14ac:dyDescent="0.25">
      <c r="A228" t="s">
        <v>119</v>
      </c>
      <c r="B228" t="s">
        <v>151</v>
      </c>
      <c r="C228" t="s">
        <v>152</v>
      </c>
      <c r="D228">
        <v>783100</v>
      </c>
      <c r="E228" t="s">
        <v>10</v>
      </c>
      <c r="F228">
        <v>21.867000000000001</v>
      </c>
      <c r="G228">
        <v>-84.95</v>
      </c>
      <c r="H228">
        <v>-5</v>
      </c>
      <c r="I228">
        <v>8</v>
      </c>
      <c r="J228" t="str">
        <f>HYPERLINK("https://climate.onebuilding.org/WMO_Region_4_North_and_Central_America/CUB_Cuba/PD_Pinar_del_Rio/CUB_PD_Cabo.San.Antonio.Sandino.783100_TMYx.zip")</f>
        <v>https://climate.onebuilding.org/WMO_Region_4_North_and_Central_America/CUB_Cuba/PD_Pinar_del_Rio/CUB_PD_Cabo.San.Antonio.Sandino.783100_TMYx.zip</v>
      </c>
    </row>
    <row r="229" spans="1:10" x14ac:dyDescent="0.25">
      <c r="A229" t="s">
        <v>119</v>
      </c>
      <c r="B229" t="s">
        <v>151</v>
      </c>
      <c r="C229" t="s">
        <v>154</v>
      </c>
      <c r="D229">
        <v>783110</v>
      </c>
      <c r="E229" t="s">
        <v>10</v>
      </c>
      <c r="F229">
        <v>21.917000000000002</v>
      </c>
      <c r="G229">
        <v>-84.466999999999999</v>
      </c>
      <c r="H229">
        <v>-5</v>
      </c>
      <c r="I229">
        <v>4</v>
      </c>
      <c r="J229" t="str">
        <f>HYPERLINK("https://climate.onebuilding.org/WMO_Region_4_North_and_Central_America/CUB_Cuba/PD_Pinar_del_Rio/CUB_PD_La.Bajada.783110_TMYx.zip")</f>
        <v>https://climate.onebuilding.org/WMO_Region_4_North_and_Central_America/CUB_Cuba/PD_Pinar_del_Rio/CUB_PD_La.Bajada.783110_TMYx.zip</v>
      </c>
    </row>
    <row r="230" spans="1:10" x14ac:dyDescent="0.25">
      <c r="A230" t="s">
        <v>119</v>
      </c>
      <c r="B230" t="s">
        <v>151</v>
      </c>
      <c r="C230" t="s">
        <v>155</v>
      </c>
      <c r="D230">
        <v>783130</v>
      </c>
      <c r="E230" t="s">
        <v>10</v>
      </c>
      <c r="F230">
        <v>22.167000000000002</v>
      </c>
      <c r="G230">
        <v>-84.1</v>
      </c>
      <c r="H230">
        <v>-5</v>
      </c>
      <c r="I230">
        <v>28</v>
      </c>
      <c r="J230" t="str">
        <f>HYPERLINK("https://climate.onebuilding.org/WMO_Region_4_North_and_Central_America/CUB_Cuba/PD_Pinar_del_Rio/CUB_PD_Isabel.Rubio.783130_TMYx.2007-2021.zip")</f>
        <v>https://climate.onebuilding.org/WMO_Region_4_North_and_Central_America/CUB_Cuba/PD_Pinar_del_Rio/CUB_PD_Isabel.Rubio.783130_TMYx.2007-2021.zip</v>
      </c>
    </row>
    <row r="231" spans="1:10" x14ac:dyDescent="0.25">
      <c r="A231" t="s">
        <v>119</v>
      </c>
      <c r="B231" t="s">
        <v>151</v>
      </c>
      <c r="C231" t="s">
        <v>155</v>
      </c>
      <c r="D231">
        <v>783130</v>
      </c>
      <c r="E231" t="s">
        <v>10</v>
      </c>
      <c r="F231">
        <v>22.167000000000002</v>
      </c>
      <c r="G231">
        <v>-84.1</v>
      </c>
      <c r="H231">
        <v>-5</v>
      </c>
      <c r="I231">
        <v>28</v>
      </c>
      <c r="J231" t="str">
        <f>HYPERLINK("https://climate.onebuilding.org/WMO_Region_4_North_and_Central_America/CUB_Cuba/PD_Pinar_del_Rio/CUB_PD_Isabel.Rubio.783130_TMYx.zip")</f>
        <v>https://climate.onebuilding.org/WMO_Region_4_North_and_Central_America/CUB_Cuba/PD_Pinar_del_Rio/CUB_PD_Isabel.Rubio.783130_TMYx.zip</v>
      </c>
    </row>
    <row r="232" spans="1:10" x14ac:dyDescent="0.25">
      <c r="A232" t="s">
        <v>119</v>
      </c>
      <c r="B232" t="s">
        <v>151</v>
      </c>
      <c r="C232" t="s">
        <v>156</v>
      </c>
      <c r="D232">
        <v>783134</v>
      </c>
      <c r="E232" t="s">
        <v>10</v>
      </c>
      <c r="F232">
        <v>22.067</v>
      </c>
      <c r="G232">
        <v>-84.15</v>
      </c>
      <c r="H232">
        <v>-5</v>
      </c>
      <c r="I232">
        <v>17.100000000000001</v>
      </c>
      <c r="J232" t="str">
        <f>HYPERLINK("https://climate.onebuilding.org/WMO_Region_4_North_and_Central_America/CUB_Cuba/PD_Pinar_del_Rio/CUB_PD_San.Julian.AB.783134_TMYx.zip")</f>
        <v>https://climate.onebuilding.org/WMO_Region_4_North_and_Central_America/CUB_Cuba/PD_Pinar_del_Rio/CUB_PD_San.Julian.AB.783134_TMYx.zip</v>
      </c>
    </row>
    <row r="233" spans="1:10" x14ac:dyDescent="0.25">
      <c r="A233" t="s">
        <v>119</v>
      </c>
      <c r="B233" t="s">
        <v>151</v>
      </c>
      <c r="C233" t="s">
        <v>157</v>
      </c>
      <c r="D233">
        <v>783150</v>
      </c>
      <c r="E233" t="s">
        <v>158</v>
      </c>
      <c r="F233">
        <v>22.417000000000002</v>
      </c>
      <c r="G233">
        <v>-83.683000000000007</v>
      </c>
      <c r="H233">
        <v>-5</v>
      </c>
      <c r="I233">
        <v>37</v>
      </c>
      <c r="J233" t="str">
        <f>HYPERLINK("https://climate.onebuilding.org/WMO_Region_4_North_and_Central_America/CUB_Cuba/PD_Pinar_del_Rio/CUB_PD_Pinar.Del.Rio.783150_TMYx.2004-2018.zip")</f>
        <v>https://climate.onebuilding.org/WMO_Region_4_North_and_Central_America/CUB_Cuba/PD_Pinar_del_Rio/CUB_PD_Pinar.Del.Rio.783150_TMYx.2004-2018.zip</v>
      </c>
    </row>
    <row r="234" spans="1:10" x14ac:dyDescent="0.25">
      <c r="A234" t="s">
        <v>119</v>
      </c>
      <c r="B234" t="s">
        <v>151</v>
      </c>
      <c r="C234" t="s">
        <v>157</v>
      </c>
      <c r="D234">
        <v>783150</v>
      </c>
      <c r="E234" t="s">
        <v>10</v>
      </c>
      <c r="F234">
        <v>22.417000000000002</v>
      </c>
      <c r="G234">
        <v>-83.683000000000007</v>
      </c>
      <c r="H234">
        <v>-5</v>
      </c>
      <c r="I234">
        <v>37</v>
      </c>
      <c r="J234" t="str">
        <f>HYPERLINK("https://climate.onebuilding.org/WMO_Region_4_North_and_Central_America/CUB_Cuba/PD_Pinar_del_Rio/CUB_PD_Pinar.Del.Rio.783150_TMYx.2007-2021.zip")</f>
        <v>https://climate.onebuilding.org/WMO_Region_4_North_and_Central_America/CUB_Cuba/PD_Pinar_del_Rio/CUB_PD_Pinar.Del.Rio.783150_TMYx.2007-2021.zip</v>
      </c>
    </row>
    <row r="235" spans="1:10" x14ac:dyDescent="0.25">
      <c r="A235" t="s">
        <v>119</v>
      </c>
      <c r="B235" t="s">
        <v>151</v>
      </c>
      <c r="C235" t="s">
        <v>157</v>
      </c>
      <c r="D235">
        <v>783150</v>
      </c>
      <c r="E235" t="s">
        <v>10</v>
      </c>
      <c r="F235">
        <v>22.417000000000002</v>
      </c>
      <c r="G235">
        <v>-83.683000000000007</v>
      </c>
      <c r="H235">
        <v>-5</v>
      </c>
      <c r="I235">
        <v>37</v>
      </c>
      <c r="J235" t="str">
        <f>HYPERLINK("https://climate.onebuilding.org/WMO_Region_4_North_and_Central_America/CUB_Cuba/PD_Pinar_del_Rio/CUB_PD_Pinar.Del.Rio.783150_TMYx.2009-2023.zip")</f>
        <v>https://climate.onebuilding.org/WMO_Region_4_North_and_Central_America/CUB_Cuba/PD_Pinar_del_Rio/CUB_PD_Pinar.Del.Rio.783150_TMYx.2009-2023.zip</v>
      </c>
    </row>
    <row r="236" spans="1:10" x14ac:dyDescent="0.25">
      <c r="A236" t="s">
        <v>119</v>
      </c>
      <c r="B236" t="s">
        <v>151</v>
      </c>
      <c r="C236" t="s">
        <v>157</v>
      </c>
      <c r="D236">
        <v>783150</v>
      </c>
      <c r="E236" t="s">
        <v>10</v>
      </c>
      <c r="F236">
        <v>22.417000000000002</v>
      </c>
      <c r="G236">
        <v>-83.683000000000007</v>
      </c>
      <c r="H236">
        <v>-5</v>
      </c>
      <c r="I236">
        <v>37</v>
      </c>
      <c r="J236" t="str">
        <f>HYPERLINK("https://climate.onebuilding.org/WMO_Region_4_North_and_Central_America/CUB_Cuba/PD_Pinar_del_Rio/CUB_PD_Pinar.Del.Rio.783150_TMYx.zip")</f>
        <v>https://climate.onebuilding.org/WMO_Region_4_North_and_Central_America/CUB_Cuba/PD_Pinar_del_Rio/CUB_PD_Pinar.Del.Rio.783150_TMYx.zip</v>
      </c>
    </row>
    <row r="237" spans="1:10" x14ac:dyDescent="0.25">
      <c r="A237" t="s">
        <v>119</v>
      </c>
      <c r="B237" t="s">
        <v>151</v>
      </c>
      <c r="C237" t="s">
        <v>159</v>
      </c>
      <c r="D237">
        <v>783170</v>
      </c>
      <c r="E237" t="s">
        <v>10</v>
      </c>
      <c r="F237">
        <v>22.55</v>
      </c>
      <c r="G237">
        <v>-83.3</v>
      </c>
      <c r="H237">
        <v>-5</v>
      </c>
      <c r="I237">
        <v>44</v>
      </c>
      <c r="J237" t="str">
        <f>HYPERLINK("https://climate.onebuilding.org/WMO_Region_4_North_and_Central_America/CUB_Cuba/PD_Pinar_del_Rio/CUB_PD_Paso.Real.De.San.Diego.783170_TMYx.2007-2021.zip")</f>
        <v>https://climate.onebuilding.org/WMO_Region_4_North_and_Central_America/CUB_Cuba/PD_Pinar_del_Rio/CUB_PD_Paso.Real.De.San.Diego.783170_TMYx.2007-2021.zip</v>
      </c>
    </row>
    <row r="238" spans="1:10" x14ac:dyDescent="0.25">
      <c r="A238" t="s">
        <v>119</v>
      </c>
      <c r="B238" t="s">
        <v>151</v>
      </c>
      <c r="C238" t="s">
        <v>159</v>
      </c>
      <c r="D238">
        <v>783170</v>
      </c>
      <c r="E238" t="s">
        <v>10</v>
      </c>
      <c r="F238">
        <v>22.55</v>
      </c>
      <c r="G238">
        <v>-83.3</v>
      </c>
      <c r="H238">
        <v>-5</v>
      </c>
      <c r="I238">
        <v>44</v>
      </c>
      <c r="J238" t="str">
        <f>HYPERLINK("https://climate.onebuilding.org/WMO_Region_4_North_and_Central_America/CUB_Cuba/PD_Pinar_del_Rio/CUB_PD_Paso.Real.De.San.Diego.783170_TMYx.2009-2023.zip")</f>
        <v>https://climate.onebuilding.org/WMO_Region_4_North_and_Central_America/CUB_Cuba/PD_Pinar_del_Rio/CUB_PD_Paso.Real.De.San.Diego.783170_TMYx.2009-2023.zip</v>
      </c>
    </row>
    <row r="239" spans="1:10" x14ac:dyDescent="0.25">
      <c r="A239" t="s">
        <v>119</v>
      </c>
      <c r="B239" t="s">
        <v>151</v>
      </c>
      <c r="C239" t="s">
        <v>159</v>
      </c>
      <c r="D239">
        <v>783170</v>
      </c>
      <c r="E239" t="s">
        <v>10</v>
      </c>
      <c r="F239">
        <v>22.55</v>
      </c>
      <c r="G239">
        <v>-83.3</v>
      </c>
      <c r="H239">
        <v>-5</v>
      </c>
      <c r="I239">
        <v>44</v>
      </c>
      <c r="J239" t="str">
        <f>HYPERLINK("https://climate.onebuilding.org/WMO_Region_4_North_and_Central_America/CUB_Cuba/PD_Pinar_del_Rio/CUB_PD_Paso.Real.De.San.Diego.783170_TMYx.zip")</f>
        <v>https://climate.onebuilding.org/WMO_Region_4_North_and_Central_America/CUB_Cuba/PD_Pinar_del_Rio/CUB_PD_Paso.Real.De.San.Diego.783170_TMYx.zip</v>
      </c>
    </row>
    <row r="240" spans="1:10" x14ac:dyDescent="0.25">
      <c r="A240" t="s">
        <v>119</v>
      </c>
      <c r="B240" t="s">
        <v>151</v>
      </c>
      <c r="C240" t="s">
        <v>160</v>
      </c>
      <c r="D240">
        <v>783180</v>
      </c>
      <c r="E240" t="s">
        <v>161</v>
      </c>
      <c r="F240">
        <v>22.917000000000002</v>
      </c>
      <c r="G240">
        <v>-83.167000000000002</v>
      </c>
      <c r="H240">
        <v>-5</v>
      </c>
      <c r="I240">
        <v>3</v>
      </c>
      <c r="J240" t="str">
        <f>HYPERLINK("https://climate.onebuilding.org/WMO_Region_4_North_and_Central_America/CUB_Cuba/PD_Pinar_del_Rio/CUB_PD_Bahia.Honda.783180_TMYx.2004-2018.zip")</f>
        <v>https://climate.onebuilding.org/WMO_Region_4_North_and_Central_America/CUB_Cuba/PD_Pinar_del_Rio/CUB_PD_Bahia.Honda.783180_TMYx.2004-2018.zip</v>
      </c>
    </row>
    <row r="241" spans="1:10" x14ac:dyDescent="0.25">
      <c r="A241" t="s">
        <v>119</v>
      </c>
      <c r="B241" t="s">
        <v>151</v>
      </c>
      <c r="C241" t="s">
        <v>160</v>
      </c>
      <c r="D241">
        <v>783180</v>
      </c>
      <c r="E241" t="s">
        <v>10</v>
      </c>
      <c r="F241">
        <v>22.917000000000002</v>
      </c>
      <c r="G241">
        <v>-83.167000000000002</v>
      </c>
      <c r="H241">
        <v>-5</v>
      </c>
      <c r="I241">
        <v>3</v>
      </c>
      <c r="J241" t="str">
        <f>HYPERLINK("https://climate.onebuilding.org/WMO_Region_4_North_and_Central_America/CUB_Cuba/PD_Pinar_del_Rio/CUB_PD_Bahia.Honda.783180_TMYx.2007-2021.zip")</f>
        <v>https://climate.onebuilding.org/WMO_Region_4_North_and_Central_America/CUB_Cuba/PD_Pinar_del_Rio/CUB_PD_Bahia.Honda.783180_TMYx.2007-2021.zip</v>
      </c>
    </row>
    <row r="242" spans="1:10" x14ac:dyDescent="0.25">
      <c r="A242" t="s">
        <v>119</v>
      </c>
      <c r="B242" t="s">
        <v>151</v>
      </c>
      <c r="C242" t="s">
        <v>160</v>
      </c>
      <c r="D242">
        <v>783180</v>
      </c>
      <c r="E242" t="s">
        <v>10</v>
      </c>
      <c r="F242">
        <v>22.917000000000002</v>
      </c>
      <c r="G242">
        <v>-83.167000000000002</v>
      </c>
      <c r="H242">
        <v>-5</v>
      </c>
      <c r="I242">
        <v>3</v>
      </c>
      <c r="J242" t="str">
        <f>HYPERLINK("https://climate.onebuilding.org/WMO_Region_4_North_and_Central_America/CUB_Cuba/PD_Pinar_del_Rio/CUB_PD_Bahia.Honda.783180_TMYx.2009-2023.zip")</f>
        <v>https://climate.onebuilding.org/WMO_Region_4_North_and_Central_America/CUB_Cuba/PD_Pinar_del_Rio/CUB_PD_Bahia.Honda.783180_TMYx.2009-2023.zip</v>
      </c>
    </row>
    <row r="243" spans="1:10" x14ac:dyDescent="0.25">
      <c r="A243" t="s">
        <v>119</v>
      </c>
      <c r="B243" t="s">
        <v>151</v>
      </c>
      <c r="C243" t="s">
        <v>160</v>
      </c>
      <c r="D243">
        <v>783180</v>
      </c>
      <c r="E243" t="s">
        <v>10</v>
      </c>
      <c r="F243">
        <v>22.917000000000002</v>
      </c>
      <c r="G243">
        <v>-83.167000000000002</v>
      </c>
      <c r="H243">
        <v>-5</v>
      </c>
      <c r="I243">
        <v>3</v>
      </c>
      <c r="J243" t="str">
        <f>HYPERLINK("https://climate.onebuilding.org/WMO_Region_4_North_and_Central_America/CUB_Cuba/PD_Pinar_del_Rio/CUB_PD_Bahia.Honda.783180_TMYx.zip")</f>
        <v>https://climate.onebuilding.org/WMO_Region_4_North_and_Central_America/CUB_Cuba/PD_Pinar_del_Rio/CUB_PD_Bahia.Honda.783180_TMYx.zip</v>
      </c>
    </row>
    <row r="244" spans="1:10" x14ac:dyDescent="0.25">
      <c r="A244" t="s">
        <v>119</v>
      </c>
      <c r="B244" t="s">
        <v>120</v>
      </c>
      <c r="C244" t="s">
        <v>162</v>
      </c>
      <c r="D244">
        <v>783210</v>
      </c>
      <c r="E244" t="s">
        <v>10</v>
      </c>
      <c r="F244">
        <v>21.733000000000001</v>
      </c>
      <c r="G244">
        <v>-82.766999999999996</v>
      </c>
      <c r="H244">
        <v>-5</v>
      </c>
      <c r="I244">
        <v>32</v>
      </c>
      <c r="J244" t="str">
        <f>HYPERLINK("https://climate.onebuilding.org/WMO_Region_4_North_and_Central_America/CUB_Cuba/IJ_Isla_de_la_Juventud/CUB_IJ_La.Fe.Isla.De.La.Juventud.783210_TMYx.2007-2021.zip")</f>
        <v>https://climate.onebuilding.org/WMO_Region_4_North_and_Central_America/CUB_Cuba/IJ_Isla_de_la_Juventud/CUB_IJ_La.Fe.Isla.De.La.Juventud.783210_TMYx.2007-2021.zip</v>
      </c>
    </row>
    <row r="245" spans="1:10" x14ac:dyDescent="0.25">
      <c r="A245" t="s">
        <v>119</v>
      </c>
      <c r="B245" t="s">
        <v>120</v>
      </c>
      <c r="C245" t="s">
        <v>162</v>
      </c>
      <c r="D245">
        <v>783210</v>
      </c>
      <c r="E245" t="s">
        <v>10</v>
      </c>
      <c r="F245">
        <v>21.733000000000001</v>
      </c>
      <c r="G245">
        <v>-82.766999999999996</v>
      </c>
      <c r="H245">
        <v>-5</v>
      </c>
      <c r="I245">
        <v>32</v>
      </c>
      <c r="J245" t="str">
        <f>HYPERLINK("https://climate.onebuilding.org/WMO_Region_4_North_and_Central_America/CUB_Cuba/IJ_Isla_de_la_Juventud/CUB_IJ_La.Fe.Isla.De.La.Juventud.783210_TMYx.2009-2023.zip")</f>
        <v>https://climate.onebuilding.org/WMO_Region_4_North_and_Central_America/CUB_Cuba/IJ_Isla_de_la_Juventud/CUB_IJ_La.Fe.Isla.De.La.Juventud.783210_TMYx.2009-2023.zip</v>
      </c>
    </row>
    <row r="246" spans="1:10" x14ac:dyDescent="0.25">
      <c r="A246" t="s">
        <v>119</v>
      </c>
      <c r="B246" t="s">
        <v>120</v>
      </c>
      <c r="C246" t="s">
        <v>162</v>
      </c>
      <c r="D246">
        <v>783210</v>
      </c>
      <c r="E246" t="s">
        <v>10</v>
      </c>
      <c r="F246">
        <v>21.733000000000001</v>
      </c>
      <c r="G246">
        <v>-82.766999999999996</v>
      </c>
      <c r="H246">
        <v>-5</v>
      </c>
      <c r="I246">
        <v>32</v>
      </c>
      <c r="J246" t="str">
        <f>HYPERLINK("https://climate.onebuilding.org/WMO_Region_4_North_and_Central_America/CUB_Cuba/IJ_Isla_de_la_Juventud/CUB_IJ_La.Fe.Isla.De.La.Juventud.783210_TMYx.zip")</f>
        <v>https://climate.onebuilding.org/WMO_Region_4_North_and_Central_America/CUB_Cuba/IJ_Isla_de_la_Juventud/CUB_IJ_La.Fe.Isla.De.La.Juventud.783210_TMYx.zip</v>
      </c>
    </row>
    <row r="247" spans="1:10" x14ac:dyDescent="0.25">
      <c r="A247" t="s">
        <v>119</v>
      </c>
      <c r="B247" t="s">
        <v>122</v>
      </c>
      <c r="C247" t="s">
        <v>163</v>
      </c>
      <c r="D247">
        <v>783220</v>
      </c>
      <c r="E247" t="s">
        <v>164</v>
      </c>
      <c r="F247">
        <v>22.716999999999999</v>
      </c>
      <c r="G247">
        <v>-82.283000000000001</v>
      </c>
      <c r="H247">
        <v>-5</v>
      </c>
      <c r="I247">
        <v>7</v>
      </c>
      <c r="J247" t="str">
        <f>HYPERLINK("https://climate.onebuilding.org/WMO_Region_4_North_and_Central_America/CUB_Cuba/CH_La_Habana/CUB_CH_Batabano.783220_TMYx.2004-2018.zip")</f>
        <v>https://climate.onebuilding.org/WMO_Region_4_North_and_Central_America/CUB_Cuba/CH_La_Habana/CUB_CH_Batabano.783220_TMYx.2004-2018.zip</v>
      </c>
    </row>
    <row r="248" spans="1:10" x14ac:dyDescent="0.25">
      <c r="A248" t="s">
        <v>119</v>
      </c>
      <c r="B248" t="s">
        <v>122</v>
      </c>
      <c r="C248" t="s">
        <v>163</v>
      </c>
      <c r="D248">
        <v>783220</v>
      </c>
      <c r="E248" t="s">
        <v>10</v>
      </c>
      <c r="F248">
        <v>22.716999999999999</v>
      </c>
      <c r="G248">
        <v>-82.283000000000001</v>
      </c>
      <c r="H248">
        <v>-5</v>
      </c>
      <c r="I248">
        <v>7</v>
      </c>
      <c r="J248" t="str">
        <f>HYPERLINK("https://climate.onebuilding.org/WMO_Region_4_North_and_Central_America/CUB_Cuba/CH_La_Habana/CUB_CH_Batabano.783220_TMYx.2007-2021.zip")</f>
        <v>https://climate.onebuilding.org/WMO_Region_4_North_and_Central_America/CUB_Cuba/CH_La_Habana/CUB_CH_Batabano.783220_TMYx.2007-2021.zip</v>
      </c>
    </row>
    <row r="249" spans="1:10" x14ac:dyDescent="0.25">
      <c r="A249" t="s">
        <v>119</v>
      </c>
      <c r="B249" t="s">
        <v>122</v>
      </c>
      <c r="C249" t="s">
        <v>163</v>
      </c>
      <c r="D249">
        <v>783220</v>
      </c>
      <c r="E249" t="s">
        <v>10</v>
      </c>
      <c r="F249">
        <v>22.716999999999999</v>
      </c>
      <c r="G249">
        <v>-82.283000000000001</v>
      </c>
      <c r="H249">
        <v>-5</v>
      </c>
      <c r="I249">
        <v>7</v>
      </c>
      <c r="J249" t="str">
        <f>HYPERLINK("https://climate.onebuilding.org/WMO_Region_4_North_and_Central_America/CUB_Cuba/CH_La_Habana/CUB_CH_Batabano.783220_TMYx.2009-2023.zip")</f>
        <v>https://climate.onebuilding.org/WMO_Region_4_North_and_Central_America/CUB_Cuba/CH_La_Habana/CUB_CH_Batabano.783220_TMYx.2009-2023.zip</v>
      </c>
    </row>
    <row r="250" spans="1:10" x14ac:dyDescent="0.25">
      <c r="A250" t="s">
        <v>119</v>
      </c>
      <c r="B250" t="s">
        <v>122</v>
      </c>
      <c r="C250" t="s">
        <v>163</v>
      </c>
      <c r="D250">
        <v>783220</v>
      </c>
      <c r="E250" t="s">
        <v>10</v>
      </c>
      <c r="F250">
        <v>22.716999999999999</v>
      </c>
      <c r="G250">
        <v>-82.283000000000001</v>
      </c>
      <c r="H250">
        <v>-5</v>
      </c>
      <c r="I250">
        <v>7</v>
      </c>
      <c r="J250" t="str">
        <f>HYPERLINK("https://climate.onebuilding.org/WMO_Region_4_North_and_Central_America/CUB_Cuba/CH_La_Habana/CUB_CH_Batabano.783220_TMYx.zip")</f>
        <v>https://climate.onebuilding.org/WMO_Region_4_North_and_Central_America/CUB_Cuba/CH_La_Habana/CUB_CH_Batabano.783220_TMYx.zip</v>
      </c>
    </row>
    <row r="251" spans="1:10" x14ac:dyDescent="0.25">
      <c r="A251" t="s">
        <v>119</v>
      </c>
      <c r="B251" t="s">
        <v>120</v>
      </c>
      <c r="C251" t="s">
        <v>165</v>
      </c>
      <c r="D251">
        <v>783240</v>
      </c>
      <c r="E251" t="s">
        <v>166</v>
      </c>
      <c r="F251">
        <v>21.55</v>
      </c>
      <c r="G251">
        <v>-82.533000000000001</v>
      </c>
      <c r="H251">
        <v>-5</v>
      </c>
      <c r="I251">
        <v>10</v>
      </c>
      <c r="J251" t="str">
        <f>HYPERLINK("https://climate.onebuilding.org/WMO_Region_4_North_and_Central_America/CUB_Cuba/IJ_Isla_de_la_Juventud/CUB_IJ_Punta.Del.Este.Caves.783240_TMYx.2004-2018.zip")</f>
        <v>https://climate.onebuilding.org/WMO_Region_4_North_and_Central_America/CUB_Cuba/IJ_Isla_de_la_Juventud/CUB_IJ_Punta.Del.Este.Caves.783240_TMYx.2004-2018.zip</v>
      </c>
    </row>
    <row r="252" spans="1:10" x14ac:dyDescent="0.25">
      <c r="A252" t="s">
        <v>119</v>
      </c>
      <c r="B252" t="s">
        <v>120</v>
      </c>
      <c r="C252" t="s">
        <v>165</v>
      </c>
      <c r="D252">
        <v>783240</v>
      </c>
      <c r="E252" t="s">
        <v>10</v>
      </c>
      <c r="F252">
        <v>21.55</v>
      </c>
      <c r="G252">
        <v>-82.533000000000001</v>
      </c>
      <c r="H252">
        <v>-5</v>
      </c>
      <c r="I252">
        <v>10</v>
      </c>
      <c r="J252" t="str">
        <f>HYPERLINK("https://climate.onebuilding.org/WMO_Region_4_North_and_Central_America/CUB_Cuba/IJ_Isla_de_la_Juventud/CUB_IJ_Punta.Del.Este.Caves.783240_TMYx.2007-2021.zip")</f>
        <v>https://climate.onebuilding.org/WMO_Region_4_North_and_Central_America/CUB_Cuba/IJ_Isla_de_la_Juventud/CUB_IJ_Punta.Del.Este.Caves.783240_TMYx.2007-2021.zip</v>
      </c>
    </row>
    <row r="253" spans="1:10" x14ac:dyDescent="0.25">
      <c r="A253" t="s">
        <v>119</v>
      </c>
      <c r="B253" t="s">
        <v>120</v>
      </c>
      <c r="C253" t="s">
        <v>165</v>
      </c>
      <c r="D253">
        <v>783240</v>
      </c>
      <c r="E253" t="s">
        <v>10</v>
      </c>
      <c r="F253">
        <v>21.55</v>
      </c>
      <c r="G253">
        <v>-82.533000000000001</v>
      </c>
      <c r="H253">
        <v>-5</v>
      </c>
      <c r="I253">
        <v>10</v>
      </c>
      <c r="J253" t="str">
        <f>HYPERLINK("https://climate.onebuilding.org/WMO_Region_4_North_and_Central_America/CUB_Cuba/IJ_Isla_de_la_Juventud/CUB_IJ_Punta.Del.Este.Caves.783240_TMYx.2009-2023.zip")</f>
        <v>https://climate.onebuilding.org/WMO_Region_4_North_and_Central_America/CUB_Cuba/IJ_Isla_de_la_Juventud/CUB_IJ_Punta.Del.Este.Caves.783240_TMYx.2009-2023.zip</v>
      </c>
    </row>
    <row r="254" spans="1:10" x14ac:dyDescent="0.25">
      <c r="A254" t="s">
        <v>119</v>
      </c>
      <c r="B254" t="s">
        <v>120</v>
      </c>
      <c r="C254" t="s">
        <v>165</v>
      </c>
      <c r="D254">
        <v>783240</v>
      </c>
      <c r="E254" t="s">
        <v>10</v>
      </c>
      <c r="F254">
        <v>21.55</v>
      </c>
      <c r="G254">
        <v>-82.533000000000001</v>
      </c>
      <c r="H254">
        <v>-5</v>
      </c>
      <c r="I254">
        <v>10</v>
      </c>
      <c r="J254" t="str">
        <f>HYPERLINK("https://climate.onebuilding.org/WMO_Region_4_North_and_Central_America/CUB_Cuba/IJ_Isla_de_la_Juventud/CUB_IJ_Punta.Del.Este.Caves.783240_TMYx.zip")</f>
        <v>https://climate.onebuilding.org/WMO_Region_4_North_and_Central_America/CUB_Cuba/IJ_Isla_de_la_Juventud/CUB_IJ_Punta.Del.Este.Caves.783240_TMYx.zip</v>
      </c>
    </row>
    <row r="255" spans="1:10" x14ac:dyDescent="0.25">
      <c r="A255" t="s">
        <v>119</v>
      </c>
      <c r="B255" t="s">
        <v>122</v>
      </c>
      <c r="C255" t="s">
        <v>167</v>
      </c>
      <c r="D255">
        <v>783250</v>
      </c>
      <c r="E255" t="s">
        <v>168</v>
      </c>
      <c r="F255">
        <v>23.167000000000002</v>
      </c>
      <c r="G255">
        <v>-82.35</v>
      </c>
      <c r="H255">
        <v>-5</v>
      </c>
      <c r="I255">
        <v>50</v>
      </c>
      <c r="J255" t="str">
        <f>HYPERLINK("https://climate.onebuilding.org/WMO_Region_4_North_and_Central_America/CUB_Cuba/CH_La_Habana/CUB_CH_Casablanca.Havana.783250_TMYx.2004-2018.zip")</f>
        <v>https://climate.onebuilding.org/WMO_Region_4_North_and_Central_America/CUB_Cuba/CH_La_Habana/CUB_CH_Casablanca.Havana.783250_TMYx.2004-2018.zip</v>
      </c>
    </row>
    <row r="256" spans="1:10" x14ac:dyDescent="0.25">
      <c r="A256" t="s">
        <v>119</v>
      </c>
      <c r="B256" t="s">
        <v>122</v>
      </c>
      <c r="C256" t="s">
        <v>167</v>
      </c>
      <c r="D256">
        <v>783250</v>
      </c>
      <c r="E256" t="s">
        <v>10</v>
      </c>
      <c r="F256">
        <v>23.143999999999998</v>
      </c>
      <c r="G256">
        <v>-82.341999999999999</v>
      </c>
      <c r="H256">
        <v>-5</v>
      </c>
      <c r="I256">
        <v>50</v>
      </c>
      <c r="J256" t="str">
        <f>HYPERLINK("https://climate.onebuilding.org/WMO_Region_4_North_and_Central_America/CUB_Cuba/CH_La_Habana/CUB_CH_Casablanca.Havana.783250_TMYx.2007-2021.zip")</f>
        <v>https://climate.onebuilding.org/WMO_Region_4_North_and_Central_America/CUB_Cuba/CH_La_Habana/CUB_CH_Casablanca.Havana.783250_TMYx.2007-2021.zip</v>
      </c>
    </row>
    <row r="257" spans="1:10" x14ac:dyDescent="0.25">
      <c r="A257" t="s">
        <v>119</v>
      </c>
      <c r="B257" t="s">
        <v>122</v>
      </c>
      <c r="C257" t="s">
        <v>167</v>
      </c>
      <c r="D257">
        <v>783250</v>
      </c>
      <c r="E257" t="s">
        <v>10</v>
      </c>
      <c r="F257">
        <v>23.143999999999998</v>
      </c>
      <c r="G257">
        <v>-82.341999999999999</v>
      </c>
      <c r="H257">
        <v>-5</v>
      </c>
      <c r="I257">
        <v>50</v>
      </c>
      <c r="J257" t="str">
        <f>HYPERLINK("https://climate.onebuilding.org/WMO_Region_4_North_and_Central_America/CUB_Cuba/CH_La_Habana/CUB_CH_Casablanca.Havana.783250_TMYx.2009-2023.zip")</f>
        <v>https://climate.onebuilding.org/WMO_Region_4_North_and_Central_America/CUB_Cuba/CH_La_Habana/CUB_CH_Casablanca.Havana.783250_TMYx.2009-2023.zip</v>
      </c>
    </row>
    <row r="258" spans="1:10" x14ac:dyDescent="0.25">
      <c r="A258" t="s">
        <v>119</v>
      </c>
      <c r="B258" t="s">
        <v>122</v>
      </c>
      <c r="C258" t="s">
        <v>167</v>
      </c>
      <c r="D258">
        <v>783250</v>
      </c>
      <c r="E258" t="s">
        <v>10</v>
      </c>
      <c r="F258">
        <v>23.143999999999998</v>
      </c>
      <c r="G258">
        <v>-82.341999999999999</v>
      </c>
      <c r="H258">
        <v>-5</v>
      </c>
      <c r="I258">
        <v>50</v>
      </c>
      <c r="J258" t="str">
        <f>HYPERLINK("https://climate.onebuilding.org/WMO_Region_4_North_and_Central_America/CUB_Cuba/CH_La_Habana/CUB_CH_Casablanca.Havana.783250_TMYx.zip")</f>
        <v>https://climate.onebuilding.org/WMO_Region_4_North_and_Central_America/CUB_Cuba/CH_La_Habana/CUB_CH_Casablanca.Havana.783250_TMYx.zip</v>
      </c>
    </row>
    <row r="259" spans="1:10" x14ac:dyDescent="0.25">
      <c r="A259" t="s">
        <v>119</v>
      </c>
      <c r="B259" t="s">
        <v>125</v>
      </c>
      <c r="C259" t="s">
        <v>169</v>
      </c>
      <c r="D259">
        <v>783270</v>
      </c>
      <c r="E259" t="s">
        <v>10</v>
      </c>
      <c r="F259">
        <v>22.766999999999999</v>
      </c>
      <c r="G259">
        <v>-81.533000000000001</v>
      </c>
      <c r="H259">
        <v>-5</v>
      </c>
      <c r="I259">
        <v>30</v>
      </c>
      <c r="J259" t="str">
        <f>HYPERLINK("https://climate.onebuilding.org/WMO_Region_4_North_and_Central_America/CUB_Cuba/MA_Matanzas/CUB_MA_Union.De.Reyes.783270_TMYx.2007-2021.zip")</f>
        <v>https://climate.onebuilding.org/WMO_Region_4_North_and_Central_America/CUB_Cuba/MA_Matanzas/CUB_MA_Union.De.Reyes.783270_TMYx.2007-2021.zip</v>
      </c>
    </row>
    <row r="260" spans="1:10" x14ac:dyDescent="0.25">
      <c r="A260" t="s">
        <v>119</v>
      </c>
      <c r="B260" t="s">
        <v>125</v>
      </c>
      <c r="C260" t="s">
        <v>169</v>
      </c>
      <c r="D260">
        <v>783270</v>
      </c>
      <c r="E260" t="s">
        <v>10</v>
      </c>
      <c r="F260">
        <v>22.766999999999999</v>
      </c>
      <c r="G260">
        <v>-81.533000000000001</v>
      </c>
      <c r="H260">
        <v>-5</v>
      </c>
      <c r="I260">
        <v>30</v>
      </c>
      <c r="J260" t="str">
        <f>HYPERLINK("https://climate.onebuilding.org/WMO_Region_4_North_and_Central_America/CUB_Cuba/MA_Matanzas/CUB_MA_Union.De.Reyes.783270_TMYx.2009-2023.zip")</f>
        <v>https://climate.onebuilding.org/WMO_Region_4_North_and_Central_America/CUB_Cuba/MA_Matanzas/CUB_MA_Union.De.Reyes.783270_TMYx.2009-2023.zip</v>
      </c>
    </row>
    <row r="261" spans="1:10" x14ac:dyDescent="0.25">
      <c r="A261" t="s">
        <v>119</v>
      </c>
      <c r="B261" t="s">
        <v>125</v>
      </c>
      <c r="C261" t="s">
        <v>169</v>
      </c>
      <c r="D261">
        <v>783270</v>
      </c>
      <c r="E261" t="s">
        <v>10</v>
      </c>
      <c r="F261">
        <v>22.766999999999999</v>
      </c>
      <c r="G261">
        <v>-81.533000000000001</v>
      </c>
      <c r="H261">
        <v>-5</v>
      </c>
      <c r="I261">
        <v>30</v>
      </c>
      <c r="J261" t="str">
        <f>HYPERLINK("https://climate.onebuilding.org/WMO_Region_4_North_and_Central_America/CUB_Cuba/MA_Matanzas/CUB_MA_Union.De.Reyes.783270_TMYx.zip")</f>
        <v>https://climate.onebuilding.org/WMO_Region_4_North_and_Central_America/CUB_Cuba/MA_Matanzas/CUB_MA_Union.De.Reyes.783270_TMYx.zip</v>
      </c>
    </row>
    <row r="262" spans="1:10" x14ac:dyDescent="0.25">
      <c r="A262" t="s">
        <v>119</v>
      </c>
      <c r="B262" t="s">
        <v>170</v>
      </c>
      <c r="C262" t="s">
        <v>171</v>
      </c>
      <c r="D262">
        <v>783280</v>
      </c>
      <c r="E262" t="s">
        <v>172</v>
      </c>
      <c r="F262">
        <v>22.867000000000001</v>
      </c>
      <c r="G262">
        <v>-82.516999999999996</v>
      </c>
      <c r="H262">
        <v>-5</v>
      </c>
      <c r="I262">
        <v>50</v>
      </c>
      <c r="J262" t="str">
        <f>HYPERLINK("https://climate.onebuilding.org/WMO_Region_4_North_and_Central_America/CUB_Cuba/AR_Artemisa/CUB_AR_San.Antonio.Banos.783280_TMYx.2004-2018.zip")</f>
        <v>https://climate.onebuilding.org/WMO_Region_4_North_and_Central_America/CUB_Cuba/AR_Artemisa/CUB_AR_San.Antonio.Banos.783280_TMYx.2004-2018.zip</v>
      </c>
    </row>
    <row r="263" spans="1:10" x14ac:dyDescent="0.25">
      <c r="A263" t="s">
        <v>119</v>
      </c>
      <c r="B263" t="s">
        <v>170</v>
      </c>
      <c r="C263" t="s">
        <v>171</v>
      </c>
      <c r="D263">
        <v>783280</v>
      </c>
      <c r="E263" t="s">
        <v>10</v>
      </c>
      <c r="F263">
        <v>22.867000000000001</v>
      </c>
      <c r="G263">
        <v>-82.516999999999996</v>
      </c>
      <c r="H263">
        <v>-5</v>
      </c>
      <c r="I263">
        <v>50</v>
      </c>
      <c r="J263" t="str">
        <f>HYPERLINK("https://climate.onebuilding.org/WMO_Region_4_North_and_Central_America/CUB_Cuba/AR_Artemisa/CUB_AR_San.Antonio.Banos.783280_TMYx.2007-2021.zip")</f>
        <v>https://climate.onebuilding.org/WMO_Region_4_North_and_Central_America/CUB_Cuba/AR_Artemisa/CUB_AR_San.Antonio.Banos.783280_TMYx.2007-2021.zip</v>
      </c>
    </row>
    <row r="264" spans="1:10" x14ac:dyDescent="0.25">
      <c r="A264" t="s">
        <v>119</v>
      </c>
      <c r="B264" t="s">
        <v>170</v>
      </c>
      <c r="C264" t="s">
        <v>171</v>
      </c>
      <c r="D264">
        <v>783280</v>
      </c>
      <c r="E264" t="s">
        <v>10</v>
      </c>
      <c r="F264">
        <v>22.867000000000001</v>
      </c>
      <c r="G264">
        <v>-82.516999999999996</v>
      </c>
      <c r="H264">
        <v>-5</v>
      </c>
      <c r="I264">
        <v>50</v>
      </c>
      <c r="J264" t="str">
        <f>HYPERLINK("https://climate.onebuilding.org/WMO_Region_4_North_and_Central_America/CUB_Cuba/AR_Artemisa/CUB_AR_San.Antonio.Banos.783280_TMYx.2009-2023.zip")</f>
        <v>https://climate.onebuilding.org/WMO_Region_4_North_and_Central_America/CUB_Cuba/AR_Artemisa/CUB_AR_San.Antonio.Banos.783280_TMYx.2009-2023.zip</v>
      </c>
    </row>
    <row r="265" spans="1:10" x14ac:dyDescent="0.25">
      <c r="A265" t="s">
        <v>119</v>
      </c>
      <c r="B265" t="s">
        <v>170</v>
      </c>
      <c r="C265" t="s">
        <v>171</v>
      </c>
      <c r="D265">
        <v>783280</v>
      </c>
      <c r="E265" t="s">
        <v>10</v>
      </c>
      <c r="F265">
        <v>22.867000000000001</v>
      </c>
      <c r="G265">
        <v>-82.516999999999996</v>
      </c>
      <c r="H265">
        <v>-5</v>
      </c>
      <c r="I265">
        <v>50</v>
      </c>
      <c r="J265" t="str">
        <f>HYPERLINK("https://climate.onebuilding.org/WMO_Region_4_North_and_Central_America/CUB_Cuba/AR_Artemisa/CUB_AR_San.Antonio.Banos.783280_TMYx.zip")</f>
        <v>https://climate.onebuilding.org/WMO_Region_4_North_and_Central_America/CUB_Cuba/AR_Artemisa/CUB_AR_San.Antonio.Banos.783280_TMYx.zip</v>
      </c>
    </row>
    <row r="266" spans="1:10" x14ac:dyDescent="0.25">
      <c r="A266" t="s">
        <v>119</v>
      </c>
      <c r="B266" t="s">
        <v>125</v>
      </c>
      <c r="C266" t="s">
        <v>173</v>
      </c>
      <c r="D266">
        <v>783330</v>
      </c>
      <c r="E266" t="s">
        <v>174</v>
      </c>
      <c r="F266">
        <v>22.067</v>
      </c>
      <c r="G266">
        <v>-81.033000000000001</v>
      </c>
      <c r="H266">
        <v>-5</v>
      </c>
      <c r="I266">
        <v>5</v>
      </c>
      <c r="J266" t="str">
        <f>HYPERLINK("https://climate.onebuilding.org/WMO_Region_4_North_and_Central_America/CUB_Cuba/MA_Matanzas/CUB_MA_Playa.Giron.783330_TMYx.2004-2018.zip")</f>
        <v>https://climate.onebuilding.org/WMO_Region_4_North_and_Central_America/CUB_Cuba/MA_Matanzas/CUB_MA_Playa.Giron.783330_TMYx.2004-2018.zip</v>
      </c>
    </row>
    <row r="267" spans="1:10" x14ac:dyDescent="0.25">
      <c r="A267" t="s">
        <v>119</v>
      </c>
      <c r="B267" t="s">
        <v>125</v>
      </c>
      <c r="C267" t="s">
        <v>173</v>
      </c>
      <c r="D267">
        <v>783330</v>
      </c>
      <c r="E267" t="s">
        <v>10</v>
      </c>
      <c r="F267">
        <v>22.067</v>
      </c>
      <c r="G267">
        <v>-81.033000000000001</v>
      </c>
      <c r="H267">
        <v>-5</v>
      </c>
      <c r="I267">
        <v>5</v>
      </c>
      <c r="J267" t="str">
        <f>HYPERLINK("https://climate.onebuilding.org/WMO_Region_4_North_and_Central_America/CUB_Cuba/MA_Matanzas/CUB_MA_Playa.Giron.783330_TMYx.2007-2021.zip")</f>
        <v>https://climate.onebuilding.org/WMO_Region_4_North_and_Central_America/CUB_Cuba/MA_Matanzas/CUB_MA_Playa.Giron.783330_TMYx.2007-2021.zip</v>
      </c>
    </row>
    <row r="268" spans="1:10" x14ac:dyDescent="0.25">
      <c r="A268" t="s">
        <v>119</v>
      </c>
      <c r="B268" t="s">
        <v>125</v>
      </c>
      <c r="C268" t="s">
        <v>173</v>
      </c>
      <c r="D268">
        <v>783330</v>
      </c>
      <c r="E268" t="s">
        <v>10</v>
      </c>
      <c r="F268">
        <v>22.067</v>
      </c>
      <c r="G268">
        <v>-81.033000000000001</v>
      </c>
      <c r="H268">
        <v>-5</v>
      </c>
      <c r="I268">
        <v>5</v>
      </c>
      <c r="J268" t="str">
        <f>HYPERLINK("https://climate.onebuilding.org/WMO_Region_4_North_and_Central_America/CUB_Cuba/MA_Matanzas/CUB_MA_Playa.Giron.783330_TMYx.2009-2023.zip")</f>
        <v>https://climate.onebuilding.org/WMO_Region_4_North_and_Central_America/CUB_Cuba/MA_Matanzas/CUB_MA_Playa.Giron.783330_TMYx.2009-2023.zip</v>
      </c>
    </row>
    <row r="269" spans="1:10" x14ac:dyDescent="0.25">
      <c r="A269" t="s">
        <v>119</v>
      </c>
      <c r="B269" t="s">
        <v>125</v>
      </c>
      <c r="C269" t="s">
        <v>173</v>
      </c>
      <c r="D269">
        <v>783330</v>
      </c>
      <c r="E269" t="s">
        <v>10</v>
      </c>
      <c r="F269">
        <v>22.067</v>
      </c>
      <c r="G269">
        <v>-81.033000000000001</v>
      </c>
      <c r="H269">
        <v>-5</v>
      </c>
      <c r="I269">
        <v>5</v>
      </c>
      <c r="J269" t="str">
        <f>HYPERLINK("https://climate.onebuilding.org/WMO_Region_4_North_and_Central_America/CUB_Cuba/MA_Matanzas/CUB_MA_Playa.Giron.783330_TMYx.zip")</f>
        <v>https://climate.onebuilding.org/WMO_Region_4_North_and_Central_America/CUB_Cuba/MA_Matanzas/CUB_MA_Playa.Giron.783330_TMYx.zip</v>
      </c>
    </row>
    <row r="270" spans="1:10" x14ac:dyDescent="0.25">
      <c r="A270" t="s">
        <v>119</v>
      </c>
      <c r="B270" t="s">
        <v>120</v>
      </c>
      <c r="C270" t="s">
        <v>175</v>
      </c>
      <c r="D270">
        <v>783334</v>
      </c>
      <c r="E270" t="s">
        <v>176</v>
      </c>
      <c r="F270">
        <v>21.616</v>
      </c>
      <c r="G270">
        <v>-81.546000000000006</v>
      </c>
      <c r="H270">
        <v>-5</v>
      </c>
      <c r="I270">
        <v>3</v>
      </c>
      <c r="J270" t="str">
        <f>HYPERLINK("https://climate.onebuilding.org/WMO_Region_4_North_and_Central_America/CUB_Cuba/IJ_Isla_de_la_Juventud/CUB_IJ_Acuna.Intl.AP.783334_TMYx.2004-2018.zip")</f>
        <v>https://climate.onebuilding.org/WMO_Region_4_North_and_Central_America/CUB_Cuba/IJ_Isla_de_la_Juventud/CUB_IJ_Acuna.Intl.AP.783334_TMYx.2004-2018.zip</v>
      </c>
    </row>
    <row r="271" spans="1:10" x14ac:dyDescent="0.25">
      <c r="A271" t="s">
        <v>119</v>
      </c>
      <c r="B271" t="s">
        <v>120</v>
      </c>
      <c r="C271" t="s">
        <v>175</v>
      </c>
      <c r="D271">
        <v>783334</v>
      </c>
      <c r="E271" t="s">
        <v>10</v>
      </c>
      <c r="F271">
        <v>21.616</v>
      </c>
      <c r="G271">
        <v>-81.546000000000006</v>
      </c>
      <c r="H271">
        <v>-5</v>
      </c>
      <c r="I271">
        <v>3</v>
      </c>
      <c r="J271" t="str">
        <f>HYPERLINK("https://climate.onebuilding.org/WMO_Region_4_North_and_Central_America/CUB_Cuba/IJ_Isla_de_la_Juventud/CUB_IJ_Acuna.Intl.AP.783334_TMYx.2007-2021.zip")</f>
        <v>https://climate.onebuilding.org/WMO_Region_4_North_and_Central_America/CUB_Cuba/IJ_Isla_de_la_Juventud/CUB_IJ_Acuna.Intl.AP.783334_TMYx.2007-2021.zip</v>
      </c>
    </row>
    <row r="272" spans="1:10" x14ac:dyDescent="0.25">
      <c r="A272" t="s">
        <v>119</v>
      </c>
      <c r="B272" t="s">
        <v>120</v>
      </c>
      <c r="C272" t="s">
        <v>175</v>
      </c>
      <c r="D272">
        <v>783334</v>
      </c>
      <c r="E272" t="s">
        <v>10</v>
      </c>
      <c r="F272">
        <v>21.616</v>
      </c>
      <c r="G272">
        <v>-81.546000000000006</v>
      </c>
      <c r="H272">
        <v>-5</v>
      </c>
      <c r="I272">
        <v>3</v>
      </c>
      <c r="J272" t="str">
        <f>HYPERLINK("https://climate.onebuilding.org/WMO_Region_4_North_and_Central_America/CUB_Cuba/IJ_Isla_de_la_Juventud/CUB_IJ_Acuna.Intl.AP.783334_TMYx.2009-2023.zip")</f>
        <v>https://climate.onebuilding.org/WMO_Region_4_North_and_Central_America/CUB_Cuba/IJ_Isla_de_la_Juventud/CUB_IJ_Acuna.Intl.AP.783334_TMYx.2009-2023.zip</v>
      </c>
    </row>
    <row r="273" spans="1:10" x14ac:dyDescent="0.25">
      <c r="A273" t="s">
        <v>119</v>
      </c>
      <c r="B273" t="s">
        <v>120</v>
      </c>
      <c r="C273" t="s">
        <v>175</v>
      </c>
      <c r="D273">
        <v>783334</v>
      </c>
      <c r="E273" t="s">
        <v>10</v>
      </c>
      <c r="F273">
        <v>21.616</v>
      </c>
      <c r="G273">
        <v>-81.546000000000006</v>
      </c>
      <c r="H273">
        <v>-5</v>
      </c>
      <c r="I273">
        <v>3</v>
      </c>
      <c r="J273" t="str">
        <f>HYPERLINK("https://climate.onebuilding.org/WMO_Region_4_North_and_Central_America/CUB_Cuba/IJ_Isla_de_la_Juventud/CUB_IJ_Acuna.Intl.AP.783334_TMYx.zip")</f>
        <v>https://climate.onebuilding.org/WMO_Region_4_North_and_Central_America/CUB_Cuba/IJ_Isla_de_la_Juventud/CUB_IJ_Acuna.Intl.AP.783334_TMYx.zip</v>
      </c>
    </row>
    <row r="274" spans="1:10" x14ac:dyDescent="0.25">
      <c r="A274" t="s">
        <v>119</v>
      </c>
      <c r="B274" t="s">
        <v>131</v>
      </c>
      <c r="C274" t="s">
        <v>177</v>
      </c>
      <c r="D274">
        <v>783380</v>
      </c>
      <c r="E274" t="s">
        <v>10</v>
      </c>
      <c r="F274">
        <v>22.817</v>
      </c>
      <c r="G274">
        <v>-80.082999999999998</v>
      </c>
      <c r="H274">
        <v>-5</v>
      </c>
      <c r="I274">
        <v>22</v>
      </c>
      <c r="J274" t="str">
        <f>HYPERLINK("https://climate.onebuilding.org/WMO_Region_4_North_and_Central_America/CUB_Cuba/VC_Villa_Clara/CUB_VC_Sagua.La.Grande.783380_TMYx.2007-2021.zip")</f>
        <v>https://climate.onebuilding.org/WMO_Region_4_North_and_Central_America/CUB_Cuba/VC_Villa_Clara/CUB_VC_Sagua.La.Grande.783380_TMYx.2007-2021.zip</v>
      </c>
    </row>
    <row r="275" spans="1:10" x14ac:dyDescent="0.25">
      <c r="A275" t="s">
        <v>119</v>
      </c>
      <c r="B275" t="s">
        <v>131</v>
      </c>
      <c r="C275" t="s">
        <v>177</v>
      </c>
      <c r="D275">
        <v>783380</v>
      </c>
      <c r="E275" t="s">
        <v>10</v>
      </c>
      <c r="F275">
        <v>22.817</v>
      </c>
      <c r="G275">
        <v>-80.082999999999998</v>
      </c>
      <c r="H275">
        <v>-5</v>
      </c>
      <c r="I275">
        <v>22</v>
      </c>
      <c r="J275" t="str">
        <f>HYPERLINK("https://climate.onebuilding.org/WMO_Region_4_North_and_Central_America/CUB_Cuba/VC_Villa_Clara/CUB_VC_Sagua.La.Grande.783380_TMYx.2009-2023.zip")</f>
        <v>https://climate.onebuilding.org/WMO_Region_4_North_and_Central_America/CUB_Cuba/VC_Villa_Clara/CUB_VC_Sagua.La.Grande.783380_TMYx.2009-2023.zip</v>
      </c>
    </row>
    <row r="276" spans="1:10" x14ac:dyDescent="0.25">
      <c r="A276" t="s">
        <v>119</v>
      </c>
      <c r="B276" t="s">
        <v>131</v>
      </c>
      <c r="C276" t="s">
        <v>177</v>
      </c>
      <c r="D276">
        <v>783380</v>
      </c>
      <c r="E276" t="s">
        <v>10</v>
      </c>
      <c r="F276">
        <v>22.817</v>
      </c>
      <c r="G276">
        <v>-80.082999999999998</v>
      </c>
      <c r="H276">
        <v>-5</v>
      </c>
      <c r="I276">
        <v>22</v>
      </c>
      <c r="J276" t="str">
        <f>HYPERLINK("https://climate.onebuilding.org/WMO_Region_4_North_and_Central_America/CUB_Cuba/VC_Villa_Clara/CUB_VC_Sagua.La.Grande.783380_TMYx.zip")</f>
        <v>https://climate.onebuilding.org/WMO_Region_4_North_and_Central_America/CUB_Cuba/VC_Villa_Clara/CUB_VC_Sagua.La.Grande.783380_TMYx.zip</v>
      </c>
    </row>
    <row r="277" spans="1:10" x14ac:dyDescent="0.25">
      <c r="A277" t="s">
        <v>119</v>
      </c>
      <c r="B277" t="s">
        <v>128</v>
      </c>
      <c r="C277" t="s">
        <v>129</v>
      </c>
      <c r="D277">
        <v>783390</v>
      </c>
      <c r="E277" t="s">
        <v>10</v>
      </c>
      <c r="F277">
        <v>22.516999999999999</v>
      </c>
      <c r="G277">
        <v>-78.45</v>
      </c>
      <c r="H277">
        <v>-5</v>
      </c>
      <c r="I277">
        <v>2</v>
      </c>
      <c r="J277" t="str">
        <f>HYPERLINK("https://climate.onebuilding.org/WMO_Region_4_North_and_Central_America/CUB_Cuba/CA_Ciego_de_Avila/CUB_CA_Cayo.Coco.783390_TMYx.2007-2021.zip")</f>
        <v>https://climate.onebuilding.org/WMO_Region_4_North_and_Central_America/CUB_Cuba/CA_Ciego_de_Avila/CUB_CA_Cayo.Coco.783390_TMYx.2007-2021.zip</v>
      </c>
    </row>
    <row r="278" spans="1:10" x14ac:dyDescent="0.25">
      <c r="A278" t="s">
        <v>119</v>
      </c>
      <c r="B278" t="s">
        <v>128</v>
      </c>
      <c r="C278" t="s">
        <v>129</v>
      </c>
      <c r="D278">
        <v>783390</v>
      </c>
      <c r="E278" t="s">
        <v>10</v>
      </c>
      <c r="F278">
        <v>22.516999999999999</v>
      </c>
      <c r="G278">
        <v>-78.45</v>
      </c>
      <c r="H278">
        <v>-5</v>
      </c>
      <c r="I278">
        <v>2</v>
      </c>
      <c r="J278" t="str">
        <f>HYPERLINK("https://climate.onebuilding.org/WMO_Region_4_North_and_Central_America/CUB_Cuba/CA_Ciego_de_Avila/CUB_CA_Cayo.Coco.783390_TMYx.zip")</f>
        <v>https://climate.onebuilding.org/WMO_Region_4_North_and_Central_America/CUB_Cuba/CA_Ciego_de_Avila/CUB_CA_Cayo.Coco.783390_TMYx.zip</v>
      </c>
    </row>
    <row r="279" spans="1:10" x14ac:dyDescent="0.25">
      <c r="A279" t="s">
        <v>119</v>
      </c>
      <c r="B279" t="s">
        <v>134</v>
      </c>
      <c r="C279" t="s">
        <v>178</v>
      </c>
      <c r="D279">
        <v>783440</v>
      </c>
      <c r="E279" t="s">
        <v>179</v>
      </c>
      <c r="F279">
        <v>21.917000000000002</v>
      </c>
      <c r="G279">
        <v>-80.167000000000002</v>
      </c>
      <c r="H279">
        <v>-5</v>
      </c>
      <c r="I279">
        <v>42</v>
      </c>
      <c r="J279" t="str">
        <f>HYPERLINK("https://climate.onebuilding.org/WMO_Region_4_North_and_Central_America/CUB_Cuba/CF_Cienfuegos/CUB_CF_Cantarranas.783440_TMYx.2004-2018.zip")</f>
        <v>https://climate.onebuilding.org/WMO_Region_4_North_and_Central_America/CUB_Cuba/CF_Cienfuegos/CUB_CF_Cantarranas.783440_TMYx.2004-2018.zip</v>
      </c>
    </row>
    <row r="280" spans="1:10" x14ac:dyDescent="0.25">
      <c r="A280" t="s">
        <v>119</v>
      </c>
      <c r="B280" t="s">
        <v>134</v>
      </c>
      <c r="C280" t="s">
        <v>178</v>
      </c>
      <c r="D280">
        <v>783440</v>
      </c>
      <c r="E280" t="s">
        <v>10</v>
      </c>
      <c r="F280">
        <v>21.917000000000002</v>
      </c>
      <c r="G280">
        <v>-80.167000000000002</v>
      </c>
      <c r="H280">
        <v>-5</v>
      </c>
      <c r="I280">
        <v>42</v>
      </c>
      <c r="J280" t="str">
        <f>HYPERLINK("https://climate.onebuilding.org/WMO_Region_4_North_and_Central_America/CUB_Cuba/CF_Cienfuegos/CUB_CF_Cantarranas.783440_TMYx.2007-2021.zip")</f>
        <v>https://climate.onebuilding.org/WMO_Region_4_North_and_Central_America/CUB_Cuba/CF_Cienfuegos/CUB_CF_Cantarranas.783440_TMYx.2007-2021.zip</v>
      </c>
    </row>
    <row r="281" spans="1:10" x14ac:dyDescent="0.25">
      <c r="A281" t="s">
        <v>119</v>
      </c>
      <c r="B281" t="s">
        <v>134</v>
      </c>
      <c r="C281" t="s">
        <v>178</v>
      </c>
      <c r="D281">
        <v>783440</v>
      </c>
      <c r="E281" t="s">
        <v>10</v>
      </c>
      <c r="F281">
        <v>21.917000000000002</v>
      </c>
      <c r="G281">
        <v>-80.167000000000002</v>
      </c>
      <c r="H281">
        <v>-5</v>
      </c>
      <c r="I281">
        <v>42</v>
      </c>
      <c r="J281" t="str">
        <f>HYPERLINK("https://climate.onebuilding.org/WMO_Region_4_North_and_Central_America/CUB_Cuba/CF_Cienfuegos/CUB_CF_Cantarranas.783440_TMYx.2009-2023.zip")</f>
        <v>https://climate.onebuilding.org/WMO_Region_4_North_and_Central_America/CUB_Cuba/CF_Cienfuegos/CUB_CF_Cantarranas.783440_TMYx.2009-2023.zip</v>
      </c>
    </row>
    <row r="282" spans="1:10" x14ac:dyDescent="0.25">
      <c r="A282" t="s">
        <v>119</v>
      </c>
      <c r="B282" t="s">
        <v>134</v>
      </c>
      <c r="C282" t="s">
        <v>178</v>
      </c>
      <c r="D282">
        <v>783440</v>
      </c>
      <c r="E282" t="s">
        <v>10</v>
      </c>
      <c r="F282">
        <v>21.917000000000002</v>
      </c>
      <c r="G282">
        <v>-80.167000000000002</v>
      </c>
      <c r="H282">
        <v>-5</v>
      </c>
      <c r="I282">
        <v>42</v>
      </c>
      <c r="J282" t="str">
        <f>HYPERLINK("https://climate.onebuilding.org/WMO_Region_4_North_and_Central_America/CUB_Cuba/CF_Cienfuegos/CUB_CF_Cantarranas.783440_TMYx.zip")</f>
        <v>https://climate.onebuilding.org/WMO_Region_4_North_and_Central_America/CUB_Cuba/CF_Cienfuegos/CUB_CF_Cantarranas.783440_TMYx.zip</v>
      </c>
    </row>
    <row r="283" spans="1:10" x14ac:dyDescent="0.25">
      <c r="A283" t="s">
        <v>119</v>
      </c>
      <c r="B283" t="s">
        <v>128</v>
      </c>
      <c r="C283" t="s">
        <v>180</v>
      </c>
      <c r="D283">
        <v>783450</v>
      </c>
      <c r="E283" t="s">
        <v>181</v>
      </c>
      <c r="F283">
        <v>21.617000000000001</v>
      </c>
      <c r="G283">
        <v>-78.849999999999994</v>
      </c>
      <c r="H283">
        <v>-5</v>
      </c>
      <c r="I283">
        <v>1</v>
      </c>
      <c r="J283" t="str">
        <f>HYPERLINK("https://climate.onebuilding.org/WMO_Region_4_North_and_Central_America/CUB_Cuba/CA_Ciego_de_Avila/CUB_CA_Jucaro.783450_TMYx.2004-2018.zip")</f>
        <v>https://climate.onebuilding.org/WMO_Region_4_North_and_Central_America/CUB_Cuba/CA_Ciego_de_Avila/CUB_CA_Jucaro.783450_TMYx.2004-2018.zip</v>
      </c>
    </row>
    <row r="284" spans="1:10" x14ac:dyDescent="0.25">
      <c r="A284" t="s">
        <v>119</v>
      </c>
      <c r="B284" t="s">
        <v>128</v>
      </c>
      <c r="C284" t="s">
        <v>180</v>
      </c>
      <c r="D284">
        <v>783450</v>
      </c>
      <c r="E284" t="s">
        <v>10</v>
      </c>
      <c r="F284">
        <v>21.617000000000001</v>
      </c>
      <c r="G284">
        <v>-78.849999999999994</v>
      </c>
      <c r="H284">
        <v>-5</v>
      </c>
      <c r="I284">
        <v>1</v>
      </c>
      <c r="J284" t="str">
        <f>HYPERLINK("https://climate.onebuilding.org/WMO_Region_4_North_and_Central_America/CUB_Cuba/CA_Ciego_de_Avila/CUB_CA_Jucaro.783450_TMYx.2007-2021.zip")</f>
        <v>https://climate.onebuilding.org/WMO_Region_4_North_and_Central_America/CUB_Cuba/CA_Ciego_de_Avila/CUB_CA_Jucaro.783450_TMYx.2007-2021.zip</v>
      </c>
    </row>
    <row r="285" spans="1:10" x14ac:dyDescent="0.25">
      <c r="A285" t="s">
        <v>119</v>
      </c>
      <c r="B285" t="s">
        <v>128</v>
      </c>
      <c r="C285" t="s">
        <v>180</v>
      </c>
      <c r="D285">
        <v>783450</v>
      </c>
      <c r="E285" t="s">
        <v>10</v>
      </c>
      <c r="F285">
        <v>21.617000000000001</v>
      </c>
      <c r="G285">
        <v>-78.849999999999994</v>
      </c>
      <c r="H285">
        <v>-5</v>
      </c>
      <c r="I285">
        <v>1</v>
      </c>
      <c r="J285" t="str">
        <f>HYPERLINK("https://climate.onebuilding.org/WMO_Region_4_North_and_Central_America/CUB_Cuba/CA_Ciego_de_Avila/CUB_CA_Jucaro.783450_TMYx.2009-2023.zip")</f>
        <v>https://climate.onebuilding.org/WMO_Region_4_North_and_Central_America/CUB_Cuba/CA_Ciego_de_Avila/CUB_CA_Jucaro.783450_TMYx.2009-2023.zip</v>
      </c>
    </row>
    <row r="286" spans="1:10" x14ac:dyDescent="0.25">
      <c r="A286" t="s">
        <v>119</v>
      </c>
      <c r="B286" t="s">
        <v>128</v>
      </c>
      <c r="C286" t="s">
        <v>180</v>
      </c>
      <c r="D286">
        <v>783450</v>
      </c>
      <c r="E286" t="s">
        <v>10</v>
      </c>
      <c r="F286">
        <v>21.617000000000001</v>
      </c>
      <c r="G286">
        <v>-78.849999999999994</v>
      </c>
      <c r="H286">
        <v>-5</v>
      </c>
      <c r="I286">
        <v>1</v>
      </c>
      <c r="J286" t="str">
        <f>HYPERLINK("https://climate.onebuilding.org/WMO_Region_4_North_and_Central_America/CUB_Cuba/CA_Ciego_de_Avila/CUB_CA_Jucaro.783450_TMYx.zip")</f>
        <v>https://climate.onebuilding.org/WMO_Region_4_North_and_Central_America/CUB_Cuba/CA_Ciego_de_Avila/CUB_CA_Jucaro.783450_TMYx.zip</v>
      </c>
    </row>
    <row r="287" spans="1:10" x14ac:dyDescent="0.25">
      <c r="A287" t="s">
        <v>119</v>
      </c>
      <c r="B287" t="s">
        <v>128</v>
      </c>
      <c r="C287" t="s">
        <v>182</v>
      </c>
      <c r="D287">
        <v>783460</v>
      </c>
      <c r="E287" t="s">
        <v>10</v>
      </c>
      <c r="F287">
        <v>22.027000000000001</v>
      </c>
      <c r="G287">
        <v>-78.790000000000006</v>
      </c>
      <c r="H287">
        <v>-5</v>
      </c>
      <c r="I287">
        <v>102.1</v>
      </c>
      <c r="J287" t="str">
        <f>HYPERLINK("https://climate.onebuilding.org/WMO_Region_4_North_and_Central_America/CUB_Cuba/CA_Ciego_de_Avila/CUB_CA_Gomez.AP.783460_TMYx.2007-2021.zip")</f>
        <v>https://climate.onebuilding.org/WMO_Region_4_North_and_Central_America/CUB_Cuba/CA_Ciego_de_Avila/CUB_CA_Gomez.AP.783460_TMYx.2007-2021.zip</v>
      </c>
    </row>
    <row r="288" spans="1:10" x14ac:dyDescent="0.25">
      <c r="A288" t="s">
        <v>119</v>
      </c>
      <c r="B288" t="s">
        <v>128</v>
      </c>
      <c r="C288" t="s">
        <v>182</v>
      </c>
      <c r="D288">
        <v>783460</v>
      </c>
      <c r="E288" t="s">
        <v>10</v>
      </c>
      <c r="F288">
        <v>22.027000000000001</v>
      </c>
      <c r="G288">
        <v>-78.790000000000006</v>
      </c>
      <c r="H288">
        <v>-5</v>
      </c>
      <c r="I288">
        <v>102.1</v>
      </c>
      <c r="J288" t="str">
        <f>HYPERLINK("https://climate.onebuilding.org/WMO_Region_4_North_and_Central_America/CUB_Cuba/CA_Ciego_de_Avila/CUB_CA_Gomez.AP.783460_TMYx.2009-2023.zip")</f>
        <v>https://climate.onebuilding.org/WMO_Region_4_North_and_Central_America/CUB_Cuba/CA_Ciego_de_Avila/CUB_CA_Gomez.AP.783460_TMYx.2009-2023.zip</v>
      </c>
    </row>
    <row r="289" spans="1:10" x14ac:dyDescent="0.25">
      <c r="A289" t="s">
        <v>119</v>
      </c>
      <c r="B289" t="s">
        <v>128</v>
      </c>
      <c r="C289" t="s">
        <v>182</v>
      </c>
      <c r="D289">
        <v>783460</v>
      </c>
      <c r="E289" t="s">
        <v>10</v>
      </c>
      <c r="F289">
        <v>22.027000000000001</v>
      </c>
      <c r="G289">
        <v>-78.790000000000006</v>
      </c>
      <c r="H289">
        <v>-5</v>
      </c>
      <c r="I289">
        <v>102.1</v>
      </c>
      <c r="J289" t="str">
        <f>HYPERLINK("https://climate.onebuilding.org/WMO_Region_4_North_and_Central_America/CUB_Cuba/CA_Ciego_de_Avila/CUB_CA_Gomez.AP.783460_TMYx.zip")</f>
        <v>https://climate.onebuilding.org/WMO_Region_4_North_and_Central_America/CUB_Cuba/CA_Ciego_de_Avila/CUB_CA_Gomez.AP.783460_TMYx.zip</v>
      </c>
    </row>
    <row r="290" spans="1:10" x14ac:dyDescent="0.25">
      <c r="A290" t="s">
        <v>119</v>
      </c>
      <c r="B290" t="s">
        <v>131</v>
      </c>
      <c r="C290" t="s">
        <v>183</v>
      </c>
      <c r="D290">
        <v>783465</v>
      </c>
      <c r="E290" t="s">
        <v>184</v>
      </c>
      <c r="F290">
        <v>22.492000000000001</v>
      </c>
      <c r="G290">
        <v>-79.944000000000003</v>
      </c>
      <c r="H290">
        <v>-5</v>
      </c>
      <c r="I290">
        <v>103</v>
      </c>
      <c r="J290" t="str">
        <f>HYPERLINK("https://climate.onebuilding.org/WMO_Region_4_North_and_Central_America/CUB_Cuba/VC_Villa_Clara/CUB_VC_Santa.Clara.Santamaria.Intl.AP.783465_TMYx.2004-2018.zip")</f>
        <v>https://climate.onebuilding.org/WMO_Region_4_North_and_Central_America/CUB_Cuba/VC_Villa_Clara/CUB_VC_Santa.Clara.Santamaria.Intl.AP.783465_TMYx.2004-2018.zip</v>
      </c>
    </row>
    <row r="291" spans="1:10" x14ac:dyDescent="0.25">
      <c r="A291" t="s">
        <v>119</v>
      </c>
      <c r="B291" t="s">
        <v>131</v>
      </c>
      <c r="C291" t="s">
        <v>183</v>
      </c>
      <c r="D291">
        <v>783465</v>
      </c>
      <c r="E291" t="s">
        <v>10</v>
      </c>
      <c r="F291">
        <v>22.492000000000001</v>
      </c>
      <c r="G291">
        <v>-79.944000000000003</v>
      </c>
      <c r="H291">
        <v>-5</v>
      </c>
      <c r="I291">
        <v>103</v>
      </c>
      <c r="J291" t="str">
        <f>HYPERLINK("https://climate.onebuilding.org/WMO_Region_4_North_and_Central_America/CUB_Cuba/VC_Villa_Clara/CUB_VC_Santa.Clara.Santamaria.Intl.AP.783465_TMYx.2007-2021.zip")</f>
        <v>https://climate.onebuilding.org/WMO_Region_4_North_and_Central_America/CUB_Cuba/VC_Villa_Clara/CUB_VC_Santa.Clara.Santamaria.Intl.AP.783465_TMYx.2007-2021.zip</v>
      </c>
    </row>
    <row r="292" spans="1:10" x14ac:dyDescent="0.25">
      <c r="A292" t="s">
        <v>119</v>
      </c>
      <c r="B292" t="s">
        <v>131</v>
      </c>
      <c r="C292" t="s">
        <v>183</v>
      </c>
      <c r="D292">
        <v>783465</v>
      </c>
      <c r="E292" t="s">
        <v>10</v>
      </c>
      <c r="F292">
        <v>22.492000000000001</v>
      </c>
      <c r="G292">
        <v>-79.944000000000003</v>
      </c>
      <c r="H292">
        <v>-5</v>
      </c>
      <c r="I292">
        <v>103</v>
      </c>
      <c r="J292" t="str">
        <f>HYPERLINK("https://climate.onebuilding.org/WMO_Region_4_North_and_Central_America/CUB_Cuba/VC_Villa_Clara/CUB_VC_Santa.Clara.Santamaria.Intl.AP.783465_TMYx.2009-2023.zip")</f>
        <v>https://climate.onebuilding.org/WMO_Region_4_North_and_Central_America/CUB_Cuba/VC_Villa_Clara/CUB_VC_Santa.Clara.Santamaria.Intl.AP.783465_TMYx.2009-2023.zip</v>
      </c>
    </row>
    <row r="293" spans="1:10" x14ac:dyDescent="0.25">
      <c r="A293" t="s">
        <v>119</v>
      </c>
      <c r="B293" t="s">
        <v>131</v>
      </c>
      <c r="C293" t="s">
        <v>183</v>
      </c>
      <c r="D293">
        <v>783465</v>
      </c>
      <c r="E293" t="s">
        <v>10</v>
      </c>
      <c r="F293">
        <v>22.492000000000001</v>
      </c>
      <c r="G293">
        <v>-79.944000000000003</v>
      </c>
      <c r="H293">
        <v>-5</v>
      </c>
      <c r="I293">
        <v>103</v>
      </c>
      <c r="J293" t="str">
        <f>HYPERLINK("https://climate.onebuilding.org/WMO_Region_4_North_and_Central_America/CUB_Cuba/VC_Villa_Clara/CUB_VC_Santa.Clara.Santamaria.Intl.AP.783465_TMYx.zip")</f>
        <v>https://climate.onebuilding.org/WMO_Region_4_North_and_Central_America/CUB_Cuba/VC_Villa_Clara/CUB_VC_Santa.Clara.Santamaria.Intl.AP.783465_TMYx.zip</v>
      </c>
    </row>
    <row r="294" spans="1:10" x14ac:dyDescent="0.25">
      <c r="A294" t="s">
        <v>119</v>
      </c>
      <c r="B294" t="s">
        <v>131</v>
      </c>
      <c r="C294" t="s">
        <v>185</v>
      </c>
      <c r="D294">
        <v>783480</v>
      </c>
      <c r="E294" t="s">
        <v>186</v>
      </c>
      <c r="F294">
        <v>22.516999999999999</v>
      </c>
      <c r="G294">
        <v>-79.45</v>
      </c>
      <c r="H294">
        <v>-5</v>
      </c>
      <c r="I294">
        <v>6</v>
      </c>
      <c r="J294" t="str">
        <f>HYPERLINK("https://climate.onebuilding.org/WMO_Region_4_North_and_Central_America/CUB_Cuba/VC_Villa_Clara/CUB_VC_Caibarien.783480_TMYx.2004-2018.zip")</f>
        <v>https://climate.onebuilding.org/WMO_Region_4_North_and_Central_America/CUB_Cuba/VC_Villa_Clara/CUB_VC_Caibarien.783480_TMYx.2004-2018.zip</v>
      </c>
    </row>
    <row r="295" spans="1:10" x14ac:dyDescent="0.25">
      <c r="A295" t="s">
        <v>119</v>
      </c>
      <c r="B295" t="s">
        <v>131</v>
      </c>
      <c r="C295" t="s">
        <v>185</v>
      </c>
      <c r="D295">
        <v>783480</v>
      </c>
      <c r="E295" t="s">
        <v>10</v>
      </c>
      <c r="F295">
        <v>22.516999999999999</v>
      </c>
      <c r="G295">
        <v>-79.45</v>
      </c>
      <c r="H295">
        <v>-5</v>
      </c>
      <c r="I295">
        <v>6</v>
      </c>
      <c r="J295" t="str">
        <f>HYPERLINK("https://climate.onebuilding.org/WMO_Region_4_North_and_Central_America/CUB_Cuba/VC_Villa_Clara/CUB_VC_Caibarien.783480_TMYx.2007-2021.zip")</f>
        <v>https://climate.onebuilding.org/WMO_Region_4_North_and_Central_America/CUB_Cuba/VC_Villa_Clara/CUB_VC_Caibarien.783480_TMYx.2007-2021.zip</v>
      </c>
    </row>
    <row r="296" spans="1:10" x14ac:dyDescent="0.25">
      <c r="A296" t="s">
        <v>119</v>
      </c>
      <c r="B296" t="s">
        <v>131</v>
      </c>
      <c r="C296" t="s">
        <v>185</v>
      </c>
      <c r="D296">
        <v>783480</v>
      </c>
      <c r="E296" t="s">
        <v>10</v>
      </c>
      <c r="F296">
        <v>22.516999999999999</v>
      </c>
      <c r="G296">
        <v>-79.45</v>
      </c>
      <c r="H296">
        <v>-5</v>
      </c>
      <c r="I296">
        <v>6</v>
      </c>
      <c r="J296" t="str">
        <f>HYPERLINK("https://climate.onebuilding.org/WMO_Region_4_North_and_Central_America/CUB_Cuba/VC_Villa_Clara/CUB_VC_Caibarien.783480_TMYx.2009-2023.zip")</f>
        <v>https://climate.onebuilding.org/WMO_Region_4_North_and_Central_America/CUB_Cuba/VC_Villa_Clara/CUB_VC_Caibarien.783480_TMYx.2009-2023.zip</v>
      </c>
    </row>
    <row r="297" spans="1:10" x14ac:dyDescent="0.25">
      <c r="A297" t="s">
        <v>119</v>
      </c>
      <c r="B297" t="s">
        <v>131</v>
      </c>
      <c r="C297" t="s">
        <v>185</v>
      </c>
      <c r="D297">
        <v>783480</v>
      </c>
      <c r="E297" t="s">
        <v>10</v>
      </c>
      <c r="F297">
        <v>22.516999999999999</v>
      </c>
      <c r="G297">
        <v>-79.45</v>
      </c>
      <c r="H297">
        <v>-5</v>
      </c>
      <c r="I297">
        <v>6</v>
      </c>
      <c r="J297" t="str">
        <f>HYPERLINK("https://climate.onebuilding.org/WMO_Region_4_North_and_Central_America/CUB_Cuba/VC_Villa_Clara/CUB_VC_Caibarien.783480_TMYx.zip")</f>
        <v>https://climate.onebuilding.org/WMO_Region_4_North_and_Central_America/CUB_Cuba/VC_Villa_Clara/CUB_VC_Caibarien.783480_TMYx.zip</v>
      </c>
    </row>
    <row r="298" spans="1:10" x14ac:dyDescent="0.25">
      <c r="A298" t="s">
        <v>119</v>
      </c>
      <c r="B298" t="s">
        <v>59</v>
      </c>
      <c r="C298" t="s">
        <v>187</v>
      </c>
      <c r="D298">
        <v>783490</v>
      </c>
      <c r="E298" t="s">
        <v>188</v>
      </c>
      <c r="F298">
        <v>21.933</v>
      </c>
      <c r="G298">
        <v>-79.45</v>
      </c>
      <c r="H298">
        <v>-5</v>
      </c>
      <c r="I298">
        <v>97</v>
      </c>
      <c r="J298" t="str">
        <f>HYPERLINK("https://climate.onebuilding.org/WMO_Region_4_North_and_Central_America/CUB_Cuba/SS_Sancti_Spiritus/CUB_SS_Sancti.Spiritus.783490_TMYx.2004-2018.zip")</f>
        <v>https://climate.onebuilding.org/WMO_Region_4_North_and_Central_America/CUB_Cuba/SS_Sancti_Spiritus/CUB_SS_Sancti.Spiritus.783490_TMYx.2004-2018.zip</v>
      </c>
    </row>
    <row r="299" spans="1:10" x14ac:dyDescent="0.25">
      <c r="A299" t="s">
        <v>119</v>
      </c>
      <c r="B299" t="s">
        <v>59</v>
      </c>
      <c r="C299" t="s">
        <v>187</v>
      </c>
      <c r="D299">
        <v>783490</v>
      </c>
      <c r="E299" t="s">
        <v>10</v>
      </c>
      <c r="F299">
        <v>21.933</v>
      </c>
      <c r="G299">
        <v>-79.45</v>
      </c>
      <c r="H299">
        <v>-5</v>
      </c>
      <c r="I299">
        <v>97</v>
      </c>
      <c r="J299" t="str">
        <f>HYPERLINK("https://climate.onebuilding.org/WMO_Region_4_North_and_Central_America/CUB_Cuba/SS_Sancti_Spiritus/CUB_SS_Sancti.Spiritus.783490_TMYx.2007-2021.zip")</f>
        <v>https://climate.onebuilding.org/WMO_Region_4_North_and_Central_America/CUB_Cuba/SS_Sancti_Spiritus/CUB_SS_Sancti.Spiritus.783490_TMYx.2007-2021.zip</v>
      </c>
    </row>
    <row r="300" spans="1:10" x14ac:dyDescent="0.25">
      <c r="A300" t="s">
        <v>119</v>
      </c>
      <c r="B300" t="s">
        <v>59</v>
      </c>
      <c r="C300" t="s">
        <v>187</v>
      </c>
      <c r="D300">
        <v>783490</v>
      </c>
      <c r="E300" t="s">
        <v>10</v>
      </c>
      <c r="F300">
        <v>21.933</v>
      </c>
      <c r="G300">
        <v>-79.45</v>
      </c>
      <c r="H300">
        <v>-5</v>
      </c>
      <c r="I300">
        <v>97</v>
      </c>
      <c r="J300" t="str">
        <f>HYPERLINK("https://climate.onebuilding.org/WMO_Region_4_North_and_Central_America/CUB_Cuba/SS_Sancti_Spiritus/CUB_SS_Sancti.Spiritus.783490_TMYx.2009-2023.zip")</f>
        <v>https://climate.onebuilding.org/WMO_Region_4_North_and_Central_America/CUB_Cuba/SS_Sancti_Spiritus/CUB_SS_Sancti.Spiritus.783490_TMYx.2009-2023.zip</v>
      </c>
    </row>
    <row r="301" spans="1:10" x14ac:dyDescent="0.25">
      <c r="A301" t="s">
        <v>119</v>
      </c>
      <c r="B301" t="s">
        <v>59</v>
      </c>
      <c r="C301" t="s">
        <v>187</v>
      </c>
      <c r="D301">
        <v>783490</v>
      </c>
      <c r="E301" t="s">
        <v>10</v>
      </c>
      <c r="F301">
        <v>21.933</v>
      </c>
      <c r="G301">
        <v>-79.45</v>
      </c>
      <c r="H301">
        <v>-5</v>
      </c>
      <c r="I301">
        <v>97</v>
      </c>
      <c r="J301" t="str">
        <f>HYPERLINK("https://climate.onebuilding.org/WMO_Region_4_North_and_Central_America/CUB_Cuba/SS_Sancti_Spiritus/CUB_SS_Sancti.Spiritus.783490_TMYx.zip")</f>
        <v>https://climate.onebuilding.org/WMO_Region_4_North_and_Central_America/CUB_Cuba/SS_Sancti_Spiritus/CUB_SS_Sancti.Spiritus.783490_TMYx.zip</v>
      </c>
    </row>
    <row r="302" spans="1:10" x14ac:dyDescent="0.25">
      <c r="A302" t="s">
        <v>119</v>
      </c>
      <c r="B302" t="s">
        <v>137</v>
      </c>
      <c r="C302" t="s">
        <v>189</v>
      </c>
      <c r="D302">
        <v>783510</v>
      </c>
      <c r="E302" t="s">
        <v>190</v>
      </c>
      <c r="F302">
        <v>20.716999999999999</v>
      </c>
      <c r="G302">
        <v>-78</v>
      </c>
      <c r="H302">
        <v>-5</v>
      </c>
      <c r="I302">
        <v>2</v>
      </c>
      <c r="J302" t="str">
        <f>HYPERLINK("https://climate.onebuilding.org/WMO_Region_4_North_and_Central_America/CUB_Cuba/CM_Camaguey/CUB_CM_Santa.Cruz.Del.Sur.783510_TMYx.2004-2018.zip")</f>
        <v>https://climate.onebuilding.org/WMO_Region_4_North_and_Central_America/CUB_Cuba/CM_Camaguey/CUB_CM_Santa.Cruz.Del.Sur.783510_TMYx.2004-2018.zip</v>
      </c>
    </row>
    <row r="303" spans="1:10" x14ac:dyDescent="0.25">
      <c r="A303" t="s">
        <v>119</v>
      </c>
      <c r="B303" t="s">
        <v>137</v>
      </c>
      <c r="C303" t="s">
        <v>189</v>
      </c>
      <c r="D303">
        <v>783510</v>
      </c>
      <c r="E303" t="s">
        <v>10</v>
      </c>
      <c r="F303">
        <v>20.716999999999999</v>
      </c>
      <c r="G303">
        <v>-78</v>
      </c>
      <c r="H303">
        <v>-5</v>
      </c>
      <c r="I303">
        <v>2</v>
      </c>
      <c r="J303" t="str">
        <f>HYPERLINK("https://climate.onebuilding.org/WMO_Region_4_North_and_Central_America/CUB_Cuba/CM_Camaguey/CUB_CM_Santa.Cruz.Del.Sur.783510_TMYx.2007-2021.zip")</f>
        <v>https://climate.onebuilding.org/WMO_Region_4_North_and_Central_America/CUB_Cuba/CM_Camaguey/CUB_CM_Santa.Cruz.Del.Sur.783510_TMYx.2007-2021.zip</v>
      </c>
    </row>
    <row r="304" spans="1:10" x14ac:dyDescent="0.25">
      <c r="A304" t="s">
        <v>119</v>
      </c>
      <c r="B304" t="s">
        <v>137</v>
      </c>
      <c r="C304" t="s">
        <v>189</v>
      </c>
      <c r="D304">
        <v>783510</v>
      </c>
      <c r="E304" t="s">
        <v>10</v>
      </c>
      <c r="F304">
        <v>20.716999999999999</v>
      </c>
      <c r="G304">
        <v>-78</v>
      </c>
      <c r="H304">
        <v>-5</v>
      </c>
      <c r="I304">
        <v>2</v>
      </c>
      <c r="J304" t="str">
        <f>HYPERLINK("https://climate.onebuilding.org/WMO_Region_4_North_and_Central_America/CUB_Cuba/CM_Camaguey/CUB_CM_Santa.Cruz.Del.Sur.783510_TMYx.2009-2023.zip")</f>
        <v>https://climate.onebuilding.org/WMO_Region_4_North_and_Central_America/CUB_Cuba/CM_Camaguey/CUB_CM_Santa.Cruz.Del.Sur.783510_TMYx.2009-2023.zip</v>
      </c>
    </row>
    <row r="305" spans="1:10" x14ac:dyDescent="0.25">
      <c r="A305" t="s">
        <v>119</v>
      </c>
      <c r="B305" t="s">
        <v>137</v>
      </c>
      <c r="C305" t="s">
        <v>189</v>
      </c>
      <c r="D305">
        <v>783510</v>
      </c>
      <c r="E305" t="s">
        <v>10</v>
      </c>
      <c r="F305">
        <v>20.716999999999999</v>
      </c>
      <c r="G305">
        <v>-78</v>
      </c>
      <c r="H305">
        <v>-5</v>
      </c>
      <c r="I305">
        <v>2</v>
      </c>
      <c r="J305" t="str">
        <f>HYPERLINK("https://climate.onebuilding.org/WMO_Region_4_North_and_Central_America/CUB_Cuba/CM_Camaguey/CUB_CM_Santa.Cruz.Del.Sur.783510_TMYx.zip")</f>
        <v>https://climate.onebuilding.org/WMO_Region_4_North_and_Central_America/CUB_Cuba/CM_Camaguey/CUB_CM_Santa.Cruz.Del.Sur.783510_TMYx.zip</v>
      </c>
    </row>
    <row r="306" spans="1:10" x14ac:dyDescent="0.25">
      <c r="A306" t="s">
        <v>119</v>
      </c>
      <c r="B306" t="s">
        <v>137</v>
      </c>
      <c r="C306" t="s">
        <v>191</v>
      </c>
      <c r="D306">
        <v>783530</v>
      </c>
      <c r="E306" t="s">
        <v>192</v>
      </c>
      <c r="F306">
        <v>21.533000000000001</v>
      </c>
      <c r="G306">
        <v>-77.25</v>
      </c>
      <c r="H306">
        <v>-5</v>
      </c>
      <c r="I306">
        <v>4</v>
      </c>
      <c r="J306" t="str">
        <f>HYPERLINK("https://climate.onebuilding.org/WMO_Region_4_North_and_Central_America/CUB_Cuba/CM_Camaguey/CUB_CM_Nuevitas.783530_TMYx.2004-2018.zip")</f>
        <v>https://climate.onebuilding.org/WMO_Region_4_North_and_Central_America/CUB_Cuba/CM_Camaguey/CUB_CM_Nuevitas.783530_TMYx.2004-2018.zip</v>
      </c>
    </row>
    <row r="307" spans="1:10" x14ac:dyDescent="0.25">
      <c r="A307" t="s">
        <v>119</v>
      </c>
      <c r="B307" t="s">
        <v>137</v>
      </c>
      <c r="C307" t="s">
        <v>191</v>
      </c>
      <c r="D307">
        <v>783530</v>
      </c>
      <c r="E307" t="s">
        <v>10</v>
      </c>
      <c r="F307">
        <v>21.533000000000001</v>
      </c>
      <c r="G307">
        <v>-77.25</v>
      </c>
      <c r="H307">
        <v>-5</v>
      </c>
      <c r="I307">
        <v>4</v>
      </c>
      <c r="J307" t="str">
        <f>HYPERLINK("https://climate.onebuilding.org/WMO_Region_4_North_and_Central_America/CUB_Cuba/CM_Camaguey/CUB_CM_Nuevitas.783530_TMYx.2007-2021.zip")</f>
        <v>https://climate.onebuilding.org/WMO_Region_4_North_and_Central_America/CUB_Cuba/CM_Camaguey/CUB_CM_Nuevitas.783530_TMYx.2007-2021.zip</v>
      </c>
    </row>
    <row r="308" spans="1:10" x14ac:dyDescent="0.25">
      <c r="A308" t="s">
        <v>119</v>
      </c>
      <c r="B308" t="s">
        <v>137</v>
      </c>
      <c r="C308" t="s">
        <v>191</v>
      </c>
      <c r="D308">
        <v>783530</v>
      </c>
      <c r="E308" t="s">
        <v>10</v>
      </c>
      <c r="F308">
        <v>21.533000000000001</v>
      </c>
      <c r="G308">
        <v>-77.25</v>
      </c>
      <c r="H308">
        <v>-5</v>
      </c>
      <c r="I308">
        <v>4</v>
      </c>
      <c r="J308" t="str">
        <f>HYPERLINK("https://climate.onebuilding.org/WMO_Region_4_North_and_Central_America/CUB_Cuba/CM_Camaguey/CUB_CM_Nuevitas.783530_TMYx.2009-2023.zip")</f>
        <v>https://climate.onebuilding.org/WMO_Region_4_North_and_Central_America/CUB_Cuba/CM_Camaguey/CUB_CM_Nuevitas.783530_TMYx.2009-2023.zip</v>
      </c>
    </row>
    <row r="309" spans="1:10" x14ac:dyDescent="0.25">
      <c r="A309" t="s">
        <v>119</v>
      </c>
      <c r="B309" t="s">
        <v>137</v>
      </c>
      <c r="C309" t="s">
        <v>191</v>
      </c>
      <c r="D309">
        <v>783530</v>
      </c>
      <c r="E309" t="s">
        <v>10</v>
      </c>
      <c r="F309">
        <v>21.533000000000001</v>
      </c>
      <c r="G309">
        <v>-77.25</v>
      </c>
      <c r="H309">
        <v>-5</v>
      </c>
      <c r="I309">
        <v>4</v>
      </c>
      <c r="J309" t="str">
        <f>HYPERLINK("https://climate.onebuilding.org/WMO_Region_4_North_and_Central_America/CUB_Cuba/CM_Camaguey/CUB_CM_Nuevitas.783530_TMYx.zip")</f>
        <v>https://climate.onebuilding.org/WMO_Region_4_North_and_Central_America/CUB_Cuba/CM_Camaguey/CUB_CM_Nuevitas.783530_TMYx.zip</v>
      </c>
    </row>
    <row r="310" spans="1:10" x14ac:dyDescent="0.25">
      <c r="A310" t="s">
        <v>119</v>
      </c>
      <c r="B310" t="s">
        <v>137</v>
      </c>
      <c r="C310" t="s">
        <v>193</v>
      </c>
      <c r="D310">
        <v>783550</v>
      </c>
      <c r="E310" t="s">
        <v>194</v>
      </c>
      <c r="F310">
        <v>21.4</v>
      </c>
      <c r="G310">
        <v>-77.849999999999994</v>
      </c>
      <c r="H310">
        <v>-5</v>
      </c>
      <c r="I310">
        <v>122</v>
      </c>
      <c r="J310" t="str">
        <f>HYPERLINK("https://climate.onebuilding.org/WMO_Region_4_North_and_Central_America/CUB_Cuba/CM_Camaguey/CUB_CM_Camaguey.783550_TMYx.2004-2018.zip")</f>
        <v>https://climate.onebuilding.org/WMO_Region_4_North_and_Central_America/CUB_Cuba/CM_Camaguey/CUB_CM_Camaguey.783550_TMYx.2004-2018.zip</v>
      </c>
    </row>
    <row r="311" spans="1:10" x14ac:dyDescent="0.25">
      <c r="A311" t="s">
        <v>119</v>
      </c>
      <c r="B311" t="s">
        <v>137</v>
      </c>
      <c r="C311" t="s">
        <v>193</v>
      </c>
      <c r="D311">
        <v>783550</v>
      </c>
      <c r="E311" t="s">
        <v>10</v>
      </c>
      <c r="F311">
        <v>21.4</v>
      </c>
      <c r="G311">
        <v>-77.849999999999994</v>
      </c>
      <c r="H311">
        <v>-5</v>
      </c>
      <c r="I311">
        <v>122</v>
      </c>
      <c r="J311" t="str">
        <f>HYPERLINK("https://climate.onebuilding.org/WMO_Region_4_North_and_Central_America/CUB_Cuba/CM_Camaguey/CUB_CM_Camaguey.783550_TMYx.2007-2021.zip")</f>
        <v>https://climate.onebuilding.org/WMO_Region_4_North_and_Central_America/CUB_Cuba/CM_Camaguey/CUB_CM_Camaguey.783550_TMYx.2007-2021.zip</v>
      </c>
    </row>
    <row r="312" spans="1:10" x14ac:dyDescent="0.25">
      <c r="A312" t="s">
        <v>119</v>
      </c>
      <c r="B312" t="s">
        <v>137</v>
      </c>
      <c r="C312" t="s">
        <v>193</v>
      </c>
      <c r="D312">
        <v>783550</v>
      </c>
      <c r="E312" t="s">
        <v>10</v>
      </c>
      <c r="F312">
        <v>21.4</v>
      </c>
      <c r="G312">
        <v>-77.849999999999994</v>
      </c>
      <c r="H312">
        <v>-5</v>
      </c>
      <c r="I312">
        <v>122</v>
      </c>
      <c r="J312" t="str">
        <f>HYPERLINK("https://climate.onebuilding.org/WMO_Region_4_North_and_Central_America/CUB_Cuba/CM_Camaguey/CUB_CM_Camaguey.783550_TMYx.2009-2023.zip")</f>
        <v>https://climate.onebuilding.org/WMO_Region_4_North_and_Central_America/CUB_Cuba/CM_Camaguey/CUB_CM_Camaguey.783550_TMYx.2009-2023.zip</v>
      </c>
    </row>
    <row r="313" spans="1:10" x14ac:dyDescent="0.25">
      <c r="A313" t="s">
        <v>119</v>
      </c>
      <c r="B313" t="s">
        <v>137</v>
      </c>
      <c r="C313" t="s">
        <v>193</v>
      </c>
      <c r="D313">
        <v>783550</v>
      </c>
      <c r="E313" t="s">
        <v>10</v>
      </c>
      <c r="F313">
        <v>21.4</v>
      </c>
      <c r="G313">
        <v>-77.849999999999994</v>
      </c>
      <c r="H313">
        <v>-5</v>
      </c>
      <c r="I313">
        <v>122</v>
      </c>
      <c r="J313" t="str">
        <f>HYPERLINK("https://climate.onebuilding.org/WMO_Region_4_North_and_Central_America/CUB_Cuba/CM_Camaguey/CUB_CM_Camaguey.783550_TMYx.zip")</f>
        <v>https://climate.onebuilding.org/WMO_Region_4_North_and_Central_America/CUB_Cuba/CM_Camaguey/CUB_CM_Camaguey.783550_TMYx.zip</v>
      </c>
    </row>
    <row r="314" spans="1:10" x14ac:dyDescent="0.25">
      <c r="A314" t="s">
        <v>119</v>
      </c>
      <c r="B314" t="s">
        <v>195</v>
      </c>
      <c r="C314" t="s">
        <v>196</v>
      </c>
      <c r="D314">
        <v>783570</v>
      </c>
      <c r="E314" t="s">
        <v>10</v>
      </c>
      <c r="F314">
        <v>20.988</v>
      </c>
      <c r="G314">
        <v>-76.936000000000007</v>
      </c>
      <c r="H314">
        <v>-5</v>
      </c>
      <c r="I314">
        <v>100</v>
      </c>
      <c r="J314" t="str">
        <f>HYPERLINK("https://climate.onebuilding.org/WMO_Region_4_North_and_Central_America/CUB_Cuba/LT_Las_Tunas/CUB_LT_Ameijeiras.AP.783570_TMYx.2007-2021.zip")</f>
        <v>https://climate.onebuilding.org/WMO_Region_4_North_and_Central_America/CUB_Cuba/LT_Las_Tunas/CUB_LT_Ameijeiras.AP.783570_TMYx.2007-2021.zip</v>
      </c>
    </row>
    <row r="315" spans="1:10" x14ac:dyDescent="0.25">
      <c r="A315" t="s">
        <v>119</v>
      </c>
      <c r="B315" t="s">
        <v>195</v>
      </c>
      <c r="C315" t="s">
        <v>196</v>
      </c>
      <c r="D315">
        <v>783570</v>
      </c>
      <c r="E315" t="s">
        <v>10</v>
      </c>
      <c r="F315">
        <v>20.988</v>
      </c>
      <c r="G315">
        <v>-76.936000000000007</v>
      </c>
      <c r="H315">
        <v>-5</v>
      </c>
      <c r="I315">
        <v>100</v>
      </c>
      <c r="J315" t="str">
        <f>HYPERLINK("https://climate.onebuilding.org/WMO_Region_4_North_and_Central_America/CUB_Cuba/LT_Las_Tunas/CUB_LT_Ameijeiras.AP.783570_TMYx.2009-2023.zip")</f>
        <v>https://climate.onebuilding.org/WMO_Region_4_North_and_Central_America/CUB_Cuba/LT_Las_Tunas/CUB_LT_Ameijeiras.AP.783570_TMYx.2009-2023.zip</v>
      </c>
    </row>
    <row r="316" spans="1:10" x14ac:dyDescent="0.25">
      <c r="A316" t="s">
        <v>119</v>
      </c>
      <c r="B316" t="s">
        <v>195</v>
      </c>
      <c r="C316" t="s">
        <v>196</v>
      </c>
      <c r="D316">
        <v>783570</v>
      </c>
      <c r="E316" t="s">
        <v>10</v>
      </c>
      <c r="F316">
        <v>20.988</v>
      </c>
      <c r="G316">
        <v>-76.936000000000007</v>
      </c>
      <c r="H316">
        <v>-5</v>
      </c>
      <c r="I316">
        <v>100</v>
      </c>
      <c r="J316" t="str">
        <f>HYPERLINK("https://climate.onebuilding.org/WMO_Region_4_North_and_Central_America/CUB_Cuba/LT_Las_Tunas/CUB_LT_Ameijeiras.AP.783570_TMYx.zip")</f>
        <v>https://climate.onebuilding.org/WMO_Region_4_North_and_Central_America/CUB_Cuba/LT_Las_Tunas/CUB_LT_Ameijeiras.AP.783570_TMYx.zip</v>
      </c>
    </row>
    <row r="317" spans="1:10" x14ac:dyDescent="0.25">
      <c r="A317" t="s">
        <v>119</v>
      </c>
      <c r="B317" t="s">
        <v>195</v>
      </c>
      <c r="C317" t="s">
        <v>197</v>
      </c>
      <c r="D317">
        <v>783580</v>
      </c>
      <c r="E317" t="s">
        <v>198</v>
      </c>
      <c r="F317">
        <v>21.2</v>
      </c>
      <c r="G317">
        <v>-76.617000000000004</v>
      </c>
      <c r="H317">
        <v>-5</v>
      </c>
      <c r="I317">
        <v>13</v>
      </c>
      <c r="J317" t="str">
        <f>HYPERLINK("https://climate.onebuilding.org/WMO_Region_4_North_and_Central_America/CUB_Cuba/LT_Las_Tunas/CUB_LT_Puerto.Padre.783580_TMYx.2004-2018.zip")</f>
        <v>https://climate.onebuilding.org/WMO_Region_4_North_and_Central_America/CUB_Cuba/LT_Las_Tunas/CUB_LT_Puerto.Padre.783580_TMYx.2004-2018.zip</v>
      </c>
    </row>
    <row r="318" spans="1:10" x14ac:dyDescent="0.25">
      <c r="A318" t="s">
        <v>119</v>
      </c>
      <c r="B318" t="s">
        <v>195</v>
      </c>
      <c r="C318" t="s">
        <v>197</v>
      </c>
      <c r="D318">
        <v>783580</v>
      </c>
      <c r="E318" t="s">
        <v>10</v>
      </c>
      <c r="F318">
        <v>21.2</v>
      </c>
      <c r="G318">
        <v>-76.617000000000004</v>
      </c>
      <c r="H318">
        <v>-5</v>
      </c>
      <c r="I318">
        <v>13</v>
      </c>
      <c r="J318" t="str">
        <f>HYPERLINK("https://climate.onebuilding.org/WMO_Region_4_North_and_Central_America/CUB_Cuba/LT_Las_Tunas/CUB_LT_Puerto.Padre.783580_TMYx.2007-2021.zip")</f>
        <v>https://climate.onebuilding.org/WMO_Region_4_North_and_Central_America/CUB_Cuba/LT_Las_Tunas/CUB_LT_Puerto.Padre.783580_TMYx.2007-2021.zip</v>
      </c>
    </row>
    <row r="319" spans="1:10" x14ac:dyDescent="0.25">
      <c r="A319" t="s">
        <v>119</v>
      </c>
      <c r="B319" t="s">
        <v>195</v>
      </c>
      <c r="C319" t="s">
        <v>197</v>
      </c>
      <c r="D319">
        <v>783580</v>
      </c>
      <c r="E319" t="s">
        <v>10</v>
      </c>
      <c r="F319">
        <v>21.2</v>
      </c>
      <c r="G319">
        <v>-76.617000000000004</v>
      </c>
      <c r="H319">
        <v>-5</v>
      </c>
      <c r="I319">
        <v>13</v>
      </c>
      <c r="J319" t="str">
        <f>HYPERLINK("https://climate.onebuilding.org/WMO_Region_4_North_and_Central_America/CUB_Cuba/LT_Las_Tunas/CUB_LT_Puerto.Padre.783580_TMYx.2009-2023.zip")</f>
        <v>https://climate.onebuilding.org/WMO_Region_4_North_and_Central_America/CUB_Cuba/LT_Las_Tunas/CUB_LT_Puerto.Padre.783580_TMYx.2009-2023.zip</v>
      </c>
    </row>
    <row r="320" spans="1:10" x14ac:dyDescent="0.25">
      <c r="A320" t="s">
        <v>119</v>
      </c>
      <c r="B320" t="s">
        <v>195</v>
      </c>
      <c r="C320" t="s">
        <v>197</v>
      </c>
      <c r="D320">
        <v>783580</v>
      </c>
      <c r="E320" t="s">
        <v>10</v>
      </c>
      <c r="F320">
        <v>21.2</v>
      </c>
      <c r="G320">
        <v>-76.617000000000004</v>
      </c>
      <c r="H320">
        <v>-5</v>
      </c>
      <c r="I320">
        <v>13</v>
      </c>
      <c r="J320" t="str">
        <f>HYPERLINK("https://climate.onebuilding.org/WMO_Region_4_North_and_Central_America/CUB_Cuba/LT_Las_Tunas/CUB_LT_Puerto.Padre.783580_TMYx.zip")</f>
        <v>https://climate.onebuilding.org/WMO_Region_4_North_and_Central_America/CUB_Cuba/LT_Las_Tunas/CUB_LT_Puerto.Padre.783580_TMYx.zip</v>
      </c>
    </row>
    <row r="321" spans="1:10" x14ac:dyDescent="0.25">
      <c r="A321" t="s">
        <v>119</v>
      </c>
      <c r="B321" t="s">
        <v>199</v>
      </c>
      <c r="C321" t="s">
        <v>200</v>
      </c>
      <c r="D321">
        <v>783600</v>
      </c>
      <c r="E321" t="s">
        <v>201</v>
      </c>
      <c r="F321">
        <v>19.850000000000001</v>
      </c>
      <c r="G321">
        <v>-77.233000000000004</v>
      </c>
      <c r="H321">
        <v>-5</v>
      </c>
      <c r="I321">
        <v>10</v>
      </c>
      <c r="J321" t="str">
        <f>HYPERLINK("https://climate.onebuilding.org/WMO_Region_4_North_and_Central_America/CUB_Cuba/GR_Granma/CUB_GR_Cabo.Cruz.783600_TMYx.2004-2018.zip")</f>
        <v>https://climate.onebuilding.org/WMO_Region_4_North_and_Central_America/CUB_Cuba/GR_Granma/CUB_GR_Cabo.Cruz.783600_TMYx.2004-2018.zip</v>
      </c>
    </row>
    <row r="322" spans="1:10" x14ac:dyDescent="0.25">
      <c r="A322" t="s">
        <v>119</v>
      </c>
      <c r="B322" t="s">
        <v>199</v>
      </c>
      <c r="C322" t="s">
        <v>200</v>
      </c>
      <c r="D322">
        <v>783600</v>
      </c>
      <c r="E322" t="s">
        <v>10</v>
      </c>
      <c r="F322">
        <v>19.850000000000001</v>
      </c>
      <c r="G322">
        <v>-77.233000000000004</v>
      </c>
      <c r="H322">
        <v>-5</v>
      </c>
      <c r="I322">
        <v>10</v>
      </c>
      <c r="J322" t="str">
        <f>HYPERLINK("https://climate.onebuilding.org/WMO_Region_4_North_and_Central_America/CUB_Cuba/GR_Granma/CUB_GR_Cabo.Cruz.783600_TMYx.2007-2021.zip")</f>
        <v>https://climate.onebuilding.org/WMO_Region_4_North_and_Central_America/CUB_Cuba/GR_Granma/CUB_GR_Cabo.Cruz.783600_TMYx.2007-2021.zip</v>
      </c>
    </row>
    <row r="323" spans="1:10" x14ac:dyDescent="0.25">
      <c r="A323" t="s">
        <v>119</v>
      </c>
      <c r="B323" t="s">
        <v>199</v>
      </c>
      <c r="C323" t="s">
        <v>200</v>
      </c>
      <c r="D323">
        <v>783600</v>
      </c>
      <c r="E323" t="s">
        <v>10</v>
      </c>
      <c r="F323">
        <v>19.850000000000001</v>
      </c>
      <c r="G323">
        <v>-77.233000000000004</v>
      </c>
      <c r="H323">
        <v>-5</v>
      </c>
      <c r="I323">
        <v>10</v>
      </c>
      <c r="J323" t="str">
        <f>HYPERLINK("https://climate.onebuilding.org/WMO_Region_4_North_and_Central_America/CUB_Cuba/GR_Granma/CUB_GR_Cabo.Cruz.783600_TMYx.2009-2023.zip")</f>
        <v>https://climate.onebuilding.org/WMO_Region_4_North_and_Central_America/CUB_Cuba/GR_Granma/CUB_GR_Cabo.Cruz.783600_TMYx.2009-2023.zip</v>
      </c>
    </row>
    <row r="324" spans="1:10" x14ac:dyDescent="0.25">
      <c r="A324" t="s">
        <v>119</v>
      </c>
      <c r="B324" t="s">
        <v>199</v>
      </c>
      <c r="C324" t="s">
        <v>200</v>
      </c>
      <c r="D324">
        <v>783600</v>
      </c>
      <c r="E324" t="s">
        <v>10</v>
      </c>
      <c r="F324">
        <v>19.850000000000001</v>
      </c>
      <c r="G324">
        <v>-77.233000000000004</v>
      </c>
      <c r="H324">
        <v>-5</v>
      </c>
      <c r="I324">
        <v>10</v>
      </c>
      <c r="J324" t="str">
        <f>HYPERLINK("https://climate.onebuilding.org/WMO_Region_4_North_and_Central_America/CUB_Cuba/GR_Granma/CUB_GR_Cabo.Cruz.783600_TMYx.zip")</f>
        <v>https://climate.onebuilding.org/WMO_Region_4_North_and_Central_America/CUB_Cuba/GR_Granma/CUB_GR_Cabo.Cruz.783600_TMYx.zip</v>
      </c>
    </row>
    <row r="325" spans="1:10" x14ac:dyDescent="0.25">
      <c r="A325" t="s">
        <v>119</v>
      </c>
      <c r="B325" t="s">
        <v>89</v>
      </c>
      <c r="C325" t="s">
        <v>202</v>
      </c>
      <c r="D325">
        <v>783630</v>
      </c>
      <c r="E325" t="s">
        <v>203</v>
      </c>
      <c r="F325">
        <v>20.283000000000001</v>
      </c>
      <c r="G325">
        <v>-76.25</v>
      </c>
      <c r="H325">
        <v>-5</v>
      </c>
      <c r="I325">
        <v>100</v>
      </c>
      <c r="J325" t="str">
        <f>HYPERLINK("https://climate.onebuilding.org/WMO_Region_4_North_and_Central_America/CUB_Cuba/SC_Santiago_de_Cuba/CUB_SC_Contramaestre.783630_TMYx.2004-2018.zip")</f>
        <v>https://climate.onebuilding.org/WMO_Region_4_North_and_Central_America/CUB_Cuba/SC_Santiago_de_Cuba/CUB_SC_Contramaestre.783630_TMYx.2004-2018.zip</v>
      </c>
    </row>
    <row r="326" spans="1:10" x14ac:dyDescent="0.25">
      <c r="A326" t="s">
        <v>119</v>
      </c>
      <c r="B326" t="s">
        <v>89</v>
      </c>
      <c r="C326" t="s">
        <v>202</v>
      </c>
      <c r="D326">
        <v>783630</v>
      </c>
      <c r="E326" t="s">
        <v>10</v>
      </c>
      <c r="F326">
        <v>20.283000000000001</v>
      </c>
      <c r="G326">
        <v>-76.25</v>
      </c>
      <c r="H326">
        <v>-5</v>
      </c>
      <c r="I326">
        <v>100</v>
      </c>
      <c r="J326" t="str">
        <f>HYPERLINK("https://climate.onebuilding.org/WMO_Region_4_North_and_Central_America/CUB_Cuba/SC_Santiago_de_Cuba/CUB_SC_Contramaestre.783630_TMYx.2007-2021.zip")</f>
        <v>https://climate.onebuilding.org/WMO_Region_4_North_and_Central_America/CUB_Cuba/SC_Santiago_de_Cuba/CUB_SC_Contramaestre.783630_TMYx.2007-2021.zip</v>
      </c>
    </row>
    <row r="327" spans="1:10" x14ac:dyDescent="0.25">
      <c r="A327" t="s">
        <v>119</v>
      </c>
      <c r="B327" t="s">
        <v>89</v>
      </c>
      <c r="C327" t="s">
        <v>202</v>
      </c>
      <c r="D327">
        <v>783630</v>
      </c>
      <c r="E327" t="s">
        <v>10</v>
      </c>
      <c r="F327">
        <v>20.283000000000001</v>
      </c>
      <c r="G327">
        <v>-76.25</v>
      </c>
      <c r="H327">
        <v>-5</v>
      </c>
      <c r="I327">
        <v>100</v>
      </c>
      <c r="J327" t="str">
        <f>HYPERLINK("https://climate.onebuilding.org/WMO_Region_4_North_and_Central_America/CUB_Cuba/SC_Santiago_de_Cuba/CUB_SC_Contramaestre.783630_TMYx.2009-2023.zip")</f>
        <v>https://climate.onebuilding.org/WMO_Region_4_North_and_Central_America/CUB_Cuba/SC_Santiago_de_Cuba/CUB_SC_Contramaestre.783630_TMYx.2009-2023.zip</v>
      </c>
    </row>
    <row r="328" spans="1:10" x14ac:dyDescent="0.25">
      <c r="A328" t="s">
        <v>119</v>
      </c>
      <c r="B328" t="s">
        <v>89</v>
      </c>
      <c r="C328" t="s">
        <v>202</v>
      </c>
      <c r="D328">
        <v>783630</v>
      </c>
      <c r="E328" t="s">
        <v>10</v>
      </c>
      <c r="F328">
        <v>20.283000000000001</v>
      </c>
      <c r="G328">
        <v>-76.25</v>
      </c>
      <c r="H328">
        <v>-5</v>
      </c>
      <c r="I328">
        <v>100</v>
      </c>
      <c r="J328" t="str">
        <f>HYPERLINK("https://climate.onebuilding.org/WMO_Region_4_North_and_Central_America/CUB_Cuba/SC_Santiago_de_Cuba/CUB_SC_Contramaestre.783630_TMYx.zip")</f>
        <v>https://climate.onebuilding.org/WMO_Region_4_North_and_Central_America/CUB_Cuba/SC_Santiago_de_Cuba/CUB_SC_Contramaestre.783630_TMYx.zip</v>
      </c>
    </row>
    <row r="329" spans="1:10" x14ac:dyDescent="0.25">
      <c r="A329" t="s">
        <v>119</v>
      </c>
      <c r="B329" t="s">
        <v>142</v>
      </c>
      <c r="C329" t="s">
        <v>204</v>
      </c>
      <c r="D329">
        <v>783650</v>
      </c>
      <c r="E329" t="s">
        <v>205</v>
      </c>
      <c r="F329">
        <v>21.067</v>
      </c>
      <c r="G329">
        <v>-75.617000000000004</v>
      </c>
      <c r="H329">
        <v>-5</v>
      </c>
      <c r="I329">
        <v>4</v>
      </c>
      <c r="J329" t="str">
        <f>HYPERLINK("https://climate.onebuilding.org/WMO_Region_4_North_and_Central_America/CUB_Cuba/HO_Holguin/CUB_HO_Punta.Lucrecia.783650_TMYx.2004-2018.zip")</f>
        <v>https://climate.onebuilding.org/WMO_Region_4_North_and_Central_America/CUB_Cuba/HO_Holguin/CUB_HO_Punta.Lucrecia.783650_TMYx.2004-2018.zip</v>
      </c>
    </row>
    <row r="330" spans="1:10" x14ac:dyDescent="0.25">
      <c r="A330" t="s">
        <v>119</v>
      </c>
      <c r="B330" t="s">
        <v>142</v>
      </c>
      <c r="C330" t="s">
        <v>204</v>
      </c>
      <c r="D330">
        <v>783650</v>
      </c>
      <c r="E330" t="s">
        <v>10</v>
      </c>
      <c r="F330">
        <v>21.067</v>
      </c>
      <c r="G330">
        <v>-75.617000000000004</v>
      </c>
      <c r="H330">
        <v>-5</v>
      </c>
      <c r="I330">
        <v>4</v>
      </c>
      <c r="J330" t="str">
        <f>HYPERLINK("https://climate.onebuilding.org/WMO_Region_4_North_and_Central_America/CUB_Cuba/HO_Holguin/CUB_HO_Punta.Lucrecia.783650_TMYx.2007-2021.zip")</f>
        <v>https://climate.onebuilding.org/WMO_Region_4_North_and_Central_America/CUB_Cuba/HO_Holguin/CUB_HO_Punta.Lucrecia.783650_TMYx.2007-2021.zip</v>
      </c>
    </row>
    <row r="331" spans="1:10" x14ac:dyDescent="0.25">
      <c r="A331" t="s">
        <v>119</v>
      </c>
      <c r="B331" t="s">
        <v>142</v>
      </c>
      <c r="C331" t="s">
        <v>204</v>
      </c>
      <c r="D331">
        <v>783650</v>
      </c>
      <c r="E331" t="s">
        <v>10</v>
      </c>
      <c r="F331">
        <v>21.067</v>
      </c>
      <c r="G331">
        <v>-75.617000000000004</v>
      </c>
      <c r="H331">
        <v>-5</v>
      </c>
      <c r="I331">
        <v>4</v>
      </c>
      <c r="J331" t="str">
        <f>HYPERLINK("https://climate.onebuilding.org/WMO_Region_4_North_and_Central_America/CUB_Cuba/HO_Holguin/CUB_HO_Punta.Lucrecia.783650_TMYx.2009-2023.zip")</f>
        <v>https://climate.onebuilding.org/WMO_Region_4_North_and_Central_America/CUB_Cuba/HO_Holguin/CUB_HO_Punta.Lucrecia.783650_TMYx.2009-2023.zip</v>
      </c>
    </row>
    <row r="332" spans="1:10" x14ac:dyDescent="0.25">
      <c r="A332" t="s">
        <v>119</v>
      </c>
      <c r="B332" t="s">
        <v>142</v>
      </c>
      <c r="C332" t="s">
        <v>204</v>
      </c>
      <c r="D332">
        <v>783650</v>
      </c>
      <c r="E332" t="s">
        <v>10</v>
      </c>
      <c r="F332">
        <v>21.067</v>
      </c>
      <c r="G332">
        <v>-75.617000000000004</v>
      </c>
      <c r="H332">
        <v>-5</v>
      </c>
      <c r="I332">
        <v>4</v>
      </c>
      <c r="J332" t="str">
        <f>HYPERLINK("https://climate.onebuilding.org/WMO_Region_4_North_and_Central_America/CUB_Cuba/HO_Holguin/CUB_HO_Punta.Lucrecia.783650_TMYx.zip")</f>
        <v>https://climate.onebuilding.org/WMO_Region_4_North_and_Central_America/CUB_Cuba/HO_Holguin/CUB_HO_Punta.Lucrecia.783650_TMYx.zip</v>
      </c>
    </row>
    <row r="333" spans="1:10" x14ac:dyDescent="0.25">
      <c r="A333" t="s">
        <v>119</v>
      </c>
      <c r="B333" t="s">
        <v>89</v>
      </c>
      <c r="C333" t="s">
        <v>206</v>
      </c>
      <c r="D333">
        <v>783660</v>
      </c>
      <c r="E333" t="s">
        <v>10</v>
      </c>
      <c r="F333">
        <v>20.033000000000001</v>
      </c>
      <c r="G333">
        <v>-75.632999999999996</v>
      </c>
      <c r="H333">
        <v>-5</v>
      </c>
      <c r="I333">
        <v>1226</v>
      </c>
      <c r="J333" t="str">
        <f>HYPERLINK("https://climate.onebuilding.org/WMO_Region_4_North_and_Central_America/CUB_Cuba/SC_Santiago_de_Cuba/CUB_SC_Gran.Piedra.783660_TMYx.2007-2021.zip")</f>
        <v>https://climate.onebuilding.org/WMO_Region_4_North_and_Central_America/CUB_Cuba/SC_Santiago_de_Cuba/CUB_SC_Gran.Piedra.783660_TMYx.2007-2021.zip</v>
      </c>
    </row>
    <row r="334" spans="1:10" x14ac:dyDescent="0.25">
      <c r="A334" t="s">
        <v>119</v>
      </c>
      <c r="B334" t="s">
        <v>89</v>
      </c>
      <c r="C334" t="s">
        <v>206</v>
      </c>
      <c r="D334">
        <v>783660</v>
      </c>
      <c r="E334" t="s">
        <v>10</v>
      </c>
      <c r="F334">
        <v>20.033000000000001</v>
      </c>
      <c r="G334">
        <v>-75.632999999999996</v>
      </c>
      <c r="H334">
        <v>-5</v>
      </c>
      <c r="I334">
        <v>1226</v>
      </c>
      <c r="J334" t="str">
        <f>HYPERLINK("https://climate.onebuilding.org/WMO_Region_4_North_and_Central_America/CUB_Cuba/SC_Santiago_de_Cuba/CUB_SC_Gran.Piedra.783660_TMYx.2009-2023.zip")</f>
        <v>https://climate.onebuilding.org/WMO_Region_4_North_and_Central_America/CUB_Cuba/SC_Santiago_de_Cuba/CUB_SC_Gran.Piedra.783660_TMYx.2009-2023.zip</v>
      </c>
    </row>
    <row r="335" spans="1:10" x14ac:dyDescent="0.25">
      <c r="A335" t="s">
        <v>119</v>
      </c>
      <c r="B335" t="s">
        <v>89</v>
      </c>
      <c r="C335" t="s">
        <v>206</v>
      </c>
      <c r="D335">
        <v>783660</v>
      </c>
      <c r="E335" t="s">
        <v>10</v>
      </c>
      <c r="F335">
        <v>20.033000000000001</v>
      </c>
      <c r="G335">
        <v>-75.632999999999996</v>
      </c>
      <c r="H335">
        <v>-5</v>
      </c>
      <c r="I335">
        <v>1226</v>
      </c>
      <c r="J335" t="str">
        <f>HYPERLINK("https://climate.onebuilding.org/WMO_Region_4_North_and_Central_America/CUB_Cuba/SC_Santiago_de_Cuba/CUB_SC_Gran.Piedra.783660_TMYx.zip")</f>
        <v>https://climate.onebuilding.org/WMO_Region_4_North_and_Central_America/CUB_Cuba/SC_Santiago_de_Cuba/CUB_SC_Gran.Piedra.783660_TMYx.zip</v>
      </c>
    </row>
    <row r="336" spans="1:10" x14ac:dyDescent="0.25">
      <c r="A336" t="s">
        <v>119</v>
      </c>
      <c r="B336" t="s">
        <v>207</v>
      </c>
      <c r="C336" t="s">
        <v>208</v>
      </c>
      <c r="D336">
        <v>783670</v>
      </c>
      <c r="E336" t="s">
        <v>209</v>
      </c>
      <c r="F336">
        <v>19.899999999999999</v>
      </c>
      <c r="G336">
        <v>-75.150000000000006</v>
      </c>
      <c r="H336">
        <v>-5</v>
      </c>
      <c r="I336">
        <v>39.9</v>
      </c>
      <c r="J336" t="str">
        <f>HYPERLINK("https://climate.onebuilding.org/WMO_Region_4_North_and_Central_America/CUB_Cuba/CUB_Guantanamo.Bay.NAS.783670_TMYx.2004-2018.zip")</f>
        <v>https://climate.onebuilding.org/WMO_Region_4_North_and_Central_America/CUB_Cuba/CUB_Guantanamo.Bay.NAS.783670_TMYx.2004-2018.zip</v>
      </c>
    </row>
    <row r="337" spans="1:10" x14ac:dyDescent="0.25">
      <c r="A337" t="s">
        <v>119</v>
      </c>
      <c r="B337" t="s">
        <v>207</v>
      </c>
      <c r="C337" t="s">
        <v>208</v>
      </c>
      <c r="D337">
        <v>783670</v>
      </c>
      <c r="E337" t="s">
        <v>10</v>
      </c>
      <c r="F337">
        <v>19.905999999999999</v>
      </c>
      <c r="G337">
        <v>-75.206999999999994</v>
      </c>
      <c r="H337">
        <v>-5</v>
      </c>
      <c r="I337">
        <v>39.9</v>
      </c>
      <c r="J337" t="str">
        <f>HYPERLINK("https://climate.onebuilding.org/WMO_Region_4_North_and_Central_America/CUB_Cuba/CUB_Guantanamo.Bay.NAS.783670_TMYx.2007-2021.zip")</f>
        <v>https://climate.onebuilding.org/WMO_Region_4_North_and_Central_America/CUB_Cuba/CUB_Guantanamo.Bay.NAS.783670_TMYx.2007-2021.zip</v>
      </c>
    </row>
    <row r="338" spans="1:10" x14ac:dyDescent="0.25">
      <c r="A338" t="s">
        <v>119</v>
      </c>
      <c r="B338" t="s">
        <v>207</v>
      </c>
      <c r="C338" t="s">
        <v>208</v>
      </c>
      <c r="D338">
        <v>783670</v>
      </c>
      <c r="E338" t="s">
        <v>10</v>
      </c>
      <c r="F338">
        <v>19.905999999999999</v>
      </c>
      <c r="G338">
        <v>-75.206999999999994</v>
      </c>
      <c r="H338">
        <v>-5</v>
      </c>
      <c r="I338">
        <v>39.9</v>
      </c>
      <c r="J338" t="str">
        <f>HYPERLINK("https://climate.onebuilding.org/WMO_Region_4_North_and_Central_America/CUB_Cuba/CUB_Guantanamo.Bay.NAS.783670_TMYx.2009-2023.zip")</f>
        <v>https://climate.onebuilding.org/WMO_Region_4_North_and_Central_America/CUB_Cuba/CUB_Guantanamo.Bay.NAS.783670_TMYx.2009-2023.zip</v>
      </c>
    </row>
    <row r="339" spans="1:10" x14ac:dyDescent="0.25">
      <c r="A339" t="s">
        <v>119</v>
      </c>
      <c r="B339" t="s">
        <v>207</v>
      </c>
      <c r="C339" t="s">
        <v>208</v>
      </c>
      <c r="D339">
        <v>783670</v>
      </c>
      <c r="E339" t="s">
        <v>10</v>
      </c>
      <c r="F339">
        <v>19.905999999999999</v>
      </c>
      <c r="G339">
        <v>-75.206999999999994</v>
      </c>
      <c r="H339">
        <v>-5</v>
      </c>
      <c r="I339">
        <v>39.9</v>
      </c>
      <c r="J339" t="str">
        <f>HYPERLINK("https://climate.onebuilding.org/WMO_Region_4_North_and_Central_America/CUB_Cuba/CUB_Guantanamo.Bay.NAS.783670_TMYx.zip")</f>
        <v>https://climate.onebuilding.org/WMO_Region_4_North_and_Central_America/CUB_Cuba/CUB_Guantanamo.Bay.NAS.783670_TMYx.zip</v>
      </c>
    </row>
    <row r="340" spans="1:10" x14ac:dyDescent="0.25">
      <c r="A340" t="s">
        <v>119</v>
      </c>
      <c r="B340" t="s">
        <v>102</v>
      </c>
      <c r="C340" t="s">
        <v>210</v>
      </c>
      <c r="D340">
        <v>783680</v>
      </c>
      <c r="E340" t="s">
        <v>10</v>
      </c>
      <c r="F340">
        <v>20.132999999999999</v>
      </c>
      <c r="G340">
        <v>-75.233000000000004</v>
      </c>
      <c r="H340">
        <v>-5</v>
      </c>
      <c r="I340">
        <v>55</v>
      </c>
      <c r="J340" t="str">
        <f>HYPERLINK("https://climate.onebuilding.org/WMO_Region_4_North_and_Central_America/CUB_Cuba/GU_Guantanamo/CUB_GU_Guantanamo.783680_TMYx.2007-2021.zip")</f>
        <v>https://climate.onebuilding.org/WMO_Region_4_North_and_Central_America/CUB_Cuba/GU_Guantanamo/CUB_GU_Guantanamo.783680_TMYx.2007-2021.zip</v>
      </c>
    </row>
    <row r="341" spans="1:10" x14ac:dyDescent="0.25">
      <c r="A341" t="s">
        <v>119</v>
      </c>
      <c r="B341" t="s">
        <v>102</v>
      </c>
      <c r="C341" t="s">
        <v>210</v>
      </c>
      <c r="D341">
        <v>783680</v>
      </c>
      <c r="E341" t="s">
        <v>10</v>
      </c>
      <c r="F341">
        <v>20.132999999999999</v>
      </c>
      <c r="G341">
        <v>-75.233000000000004</v>
      </c>
      <c r="H341">
        <v>-5</v>
      </c>
      <c r="I341">
        <v>55</v>
      </c>
      <c r="J341" t="str">
        <f>HYPERLINK("https://climate.onebuilding.org/WMO_Region_4_North_and_Central_America/CUB_Cuba/GU_Guantanamo/CUB_GU_Guantanamo.783680_TMYx.zip")</f>
        <v>https://climate.onebuilding.org/WMO_Region_4_North_and_Central_America/CUB_Cuba/GU_Guantanamo/CUB_GU_Guantanamo.783680_TMYx.zip</v>
      </c>
    </row>
    <row r="342" spans="1:10" x14ac:dyDescent="0.25">
      <c r="A342" t="s">
        <v>119</v>
      </c>
      <c r="B342" t="s">
        <v>102</v>
      </c>
      <c r="C342" t="s">
        <v>211</v>
      </c>
      <c r="D342">
        <v>783690</v>
      </c>
      <c r="E342" t="s">
        <v>212</v>
      </c>
      <c r="F342">
        <v>20.25</v>
      </c>
      <c r="G342">
        <v>-74.150000000000006</v>
      </c>
      <c r="H342">
        <v>-5</v>
      </c>
      <c r="I342">
        <v>10</v>
      </c>
      <c r="J342" t="str">
        <f>HYPERLINK("https://climate.onebuilding.org/WMO_Region_4_North_and_Central_America/CUB_Cuba/GU_Guantanamo/CUB_GU_Punta.De.Maisi.783690_TMYx.2004-2018.zip")</f>
        <v>https://climate.onebuilding.org/WMO_Region_4_North_and_Central_America/CUB_Cuba/GU_Guantanamo/CUB_GU_Punta.De.Maisi.783690_TMYx.2004-2018.zip</v>
      </c>
    </row>
    <row r="343" spans="1:10" x14ac:dyDescent="0.25">
      <c r="A343" t="s">
        <v>119</v>
      </c>
      <c r="B343" t="s">
        <v>102</v>
      </c>
      <c r="C343" t="s">
        <v>211</v>
      </c>
      <c r="D343">
        <v>783690</v>
      </c>
      <c r="E343" t="s">
        <v>10</v>
      </c>
      <c r="F343">
        <v>20.25</v>
      </c>
      <c r="G343">
        <v>-74.150000000000006</v>
      </c>
      <c r="H343">
        <v>-5</v>
      </c>
      <c r="I343">
        <v>10</v>
      </c>
      <c r="J343" t="str">
        <f>HYPERLINK("https://climate.onebuilding.org/WMO_Region_4_North_and_Central_America/CUB_Cuba/GU_Guantanamo/CUB_GU_Punta.De.Maisi.783690_TMYx.2007-2021.zip")</f>
        <v>https://climate.onebuilding.org/WMO_Region_4_North_and_Central_America/CUB_Cuba/GU_Guantanamo/CUB_GU_Punta.De.Maisi.783690_TMYx.2007-2021.zip</v>
      </c>
    </row>
    <row r="344" spans="1:10" x14ac:dyDescent="0.25">
      <c r="A344" t="s">
        <v>119</v>
      </c>
      <c r="B344" t="s">
        <v>102</v>
      </c>
      <c r="C344" t="s">
        <v>211</v>
      </c>
      <c r="D344">
        <v>783690</v>
      </c>
      <c r="E344" t="s">
        <v>10</v>
      </c>
      <c r="F344">
        <v>20.25</v>
      </c>
      <c r="G344">
        <v>-74.150000000000006</v>
      </c>
      <c r="H344">
        <v>-5</v>
      </c>
      <c r="I344">
        <v>10</v>
      </c>
      <c r="J344" t="str">
        <f>HYPERLINK("https://climate.onebuilding.org/WMO_Region_4_North_and_Central_America/CUB_Cuba/GU_Guantanamo/CUB_GU_Punta.De.Maisi.783690_TMYx.2009-2023.zip")</f>
        <v>https://climate.onebuilding.org/WMO_Region_4_North_and_Central_America/CUB_Cuba/GU_Guantanamo/CUB_GU_Punta.De.Maisi.783690_TMYx.2009-2023.zip</v>
      </c>
    </row>
    <row r="345" spans="1:10" x14ac:dyDescent="0.25">
      <c r="A345" t="s">
        <v>119</v>
      </c>
      <c r="B345" t="s">
        <v>102</v>
      </c>
      <c r="C345" t="s">
        <v>211</v>
      </c>
      <c r="D345">
        <v>783690</v>
      </c>
      <c r="E345" t="s">
        <v>10</v>
      </c>
      <c r="F345">
        <v>20.25</v>
      </c>
      <c r="G345">
        <v>-74.150000000000006</v>
      </c>
      <c r="H345">
        <v>-5</v>
      </c>
      <c r="I345">
        <v>10</v>
      </c>
      <c r="J345" t="str">
        <f>HYPERLINK("https://climate.onebuilding.org/WMO_Region_4_North_and_Central_America/CUB_Cuba/GU_Guantanamo/CUB_GU_Punta.De.Maisi.783690_TMYx.zip")</f>
        <v>https://climate.onebuilding.org/WMO_Region_4_North_and_Central_America/CUB_Cuba/GU_Guantanamo/CUB_GU_Punta.De.Maisi.783690_TMYx.zip</v>
      </c>
    </row>
    <row r="346" spans="1:10" x14ac:dyDescent="0.25">
      <c r="A346" t="s">
        <v>213</v>
      </c>
      <c r="B346" t="s">
        <v>214</v>
      </c>
      <c r="C346" t="s">
        <v>215</v>
      </c>
      <c r="D346">
        <v>789880</v>
      </c>
      <c r="E346" t="s">
        <v>216</v>
      </c>
      <c r="F346">
        <v>12.189</v>
      </c>
      <c r="G346">
        <v>-68.959999999999994</v>
      </c>
      <c r="H346">
        <v>-4</v>
      </c>
      <c r="I346">
        <v>8.8000000000000007</v>
      </c>
      <c r="J346" t="str">
        <f>HYPERLINK("https://climate.onebuilding.org/WMO_Region_4_North_and_Central_America/CUW_Curacao/CUW_CU_Hato.Intl.AP-Curacao.Intl.AP.789880_TMYx.2004-2018.zip")</f>
        <v>https://climate.onebuilding.org/WMO_Region_4_North_and_Central_America/CUW_Curacao/CUW_CU_Hato.Intl.AP-Curacao.Intl.AP.789880_TMYx.2004-2018.zip</v>
      </c>
    </row>
    <row r="347" spans="1:10" x14ac:dyDescent="0.25">
      <c r="A347" t="s">
        <v>213</v>
      </c>
      <c r="B347" t="s">
        <v>214</v>
      </c>
      <c r="C347" t="s">
        <v>215</v>
      </c>
      <c r="D347">
        <v>789880</v>
      </c>
      <c r="E347" t="s">
        <v>10</v>
      </c>
      <c r="F347">
        <v>12.189</v>
      </c>
      <c r="G347">
        <v>-68.959999999999994</v>
      </c>
      <c r="H347">
        <v>-4</v>
      </c>
      <c r="I347">
        <v>8.8000000000000007</v>
      </c>
      <c r="J347" t="str">
        <f>HYPERLINK("https://climate.onebuilding.org/WMO_Region_4_North_and_Central_America/CUW_Curacao/CUW_CU_Hato.Intl.AP-Curacao.Intl.AP.789880_TMYx.2007-2021.zip")</f>
        <v>https://climate.onebuilding.org/WMO_Region_4_North_and_Central_America/CUW_Curacao/CUW_CU_Hato.Intl.AP-Curacao.Intl.AP.789880_TMYx.2007-2021.zip</v>
      </c>
    </row>
    <row r="348" spans="1:10" x14ac:dyDescent="0.25">
      <c r="A348" t="s">
        <v>213</v>
      </c>
      <c r="B348" t="s">
        <v>214</v>
      </c>
      <c r="C348" t="s">
        <v>215</v>
      </c>
      <c r="D348">
        <v>789880</v>
      </c>
      <c r="E348" t="s">
        <v>10</v>
      </c>
      <c r="F348">
        <v>12.189</v>
      </c>
      <c r="G348">
        <v>-68.959999999999994</v>
      </c>
      <c r="H348">
        <v>-4</v>
      </c>
      <c r="I348">
        <v>8.8000000000000007</v>
      </c>
      <c r="J348" t="str">
        <f>HYPERLINK("https://climate.onebuilding.org/WMO_Region_4_North_and_Central_America/CUW_Curacao/CUW_CU_Hato.Intl.AP-Curacao.Intl.AP.789880_TMYx.2009-2023.zip")</f>
        <v>https://climate.onebuilding.org/WMO_Region_4_North_and_Central_America/CUW_Curacao/CUW_CU_Hato.Intl.AP-Curacao.Intl.AP.789880_TMYx.2009-2023.zip</v>
      </c>
    </row>
    <row r="349" spans="1:10" x14ac:dyDescent="0.25">
      <c r="A349" t="s">
        <v>213</v>
      </c>
      <c r="B349" t="s">
        <v>214</v>
      </c>
      <c r="C349" t="s">
        <v>215</v>
      </c>
      <c r="D349">
        <v>789880</v>
      </c>
      <c r="E349" t="s">
        <v>10</v>
      </c>
      <c r="F349">
        <v>12.189</v>
      </c>
      <c r="G349">
        <v>-68.959999999999994</v>
      </c>
      <c r="H349">
        <v>-4</v>
      </c>
      <c r="I349">
        <v>8.8000000000000007</v>
      </c>
      <c r="J349" t="str">
        <f>HYPERLINK("https://climate.onebuilding.org/WMO_Region_4_North_and_Central_America/CUW_Curacao/CUW_CU_Hato.Intl.AP-Curacao.Intl.AP.789880_TMYx.zip")</f>
        <v>https://climate.onebuilding.org/WMO_Region_4_North_and_Central_America/CUW_Curacao/CUW_CU_Hato.Intl.AP-Curacao.Intl.AP.789880_TMYx.zip</v>
      </c>
    </row>
    <row r="350" spans="1:10" x14ac:dyDescent="0.25">
      <c r="A350" t="s">
        <v>217</v>
      </c>
      <c r="B350" t="s">
        <v>218</v>
      </c>
      <c r="C350" t="s">
        <v>219</v>
      </c>
      <c r="D350">
        <v>783830</v>
      </c>
      <c r="E350" t="s">
        <v>18</v>
      </c>
      <c r="F350">
        <v>19.310739999999999</v>
      </c>
      <c r="G350">
        <v>-81.12115</v>
      </c>
      <c r="H350">
        <v>-5</v>
      </c>
      <c r="I350">
        <v>6</v>
      </c>
      <c r="J350" t="str">
        <f>HYPERLINK("https://climate.onebuilding.org/WMO_Region_4_North_and_Central_America/CYM_Cayman_Islands/CYM_SI_Grand.Cayman-East.End.783830_TMYx.2007-2021.zip")</f>
        <v>https://climate.onebuilding.org/WMO_Region_4_North_and_Central_America/CYM_Cayman_Islands/CYM_SI_Grand.Cayman-East.End.783830_TMYx.2007-2021.zip</v>
      </c>
    </row>
    <row r="351" spans="1:10" x14ac:dyDescent="0.25">
      <c r="A351" t="s">
        <v>217</v>
      </c>
      <c r="B351" t="s">
        <v>218</v>
      </c>
      <c r="C351" t="s">
        <v>219</v>
      </c>
      <c r="D351">
        <v>783830</v>
      </c>
      <c r="E351" t="s">
        <v>18</v>
      </c>
      <c r="F351">
        <v>19.310739999999999</v>
      </c>
      <c r="G351">
        <v>-81.12115</v>
      </c>
      <c r="H351">
        <v>-5</v>
      </c>
      <c r="I351">
        <v>6</v>
      </c>
      <c r="J351" t="str">
        <f>HYPERLINK("https://climate.onebuilding.org/WMO_Region_4_North_and_Central_America/CYM_Cayman_Islands/CYM_SI_Grand.Cayman-East.End.783830_TMYx.2009-2023.zip")</f>
        <v>https://climate.onebuilding.org/WMO_Region_4_North_and_Central_America/CYM_Cayman_Islands/CYM_SI_Grand.Cayman-East.End.783830_TMYx.2009-2023.zip</v>
      </c>
    </row>
    <row r="352" spans="1:10" x14ac:dyDescent="0.25">
      <c r="A352" t="s">
        <v>217</v>
      </c>
      <c r="B352" t="s">
        <v>218</v>
      </c>
      <c r="C352" t="s">
        <v>219</v>
      </c>
      <c r="D352">
        <v>783830</v>
      </c>
      <c r="E352" t="s">
        <v>18</v>
      </c>
      <c r="F352">
        <v>19.310739999999999</v>
      </c>
      <c r="G352">
        <v>-81.12115</v>
      </c>
      <c r="H352">
        <v>-5</v>
      </c>
      <c r="I352">
        <v>6</v>
      </c>
      <c r="J352" t="str">
        <f>HYPERLINK("https://climate.onebuilding.org/WMO_Region_4_North_and_Central_America/CYM_Cayman_Islands/CYM_SI_Grand.Cayman-East.End.783830_TMYx.zip")</f>
        <v>https://climate.onebuilding.org/WMO_Region_4_North_and_Central_America/CYM_Cayman_Islands/CYM_SI_Grand.Cayman-East.End.783830_TMYx.zip</v>
      </c>
    </row>
    <row r="353" spans="1:10" x14ac:dyDescent="0.25">
      <c r="A353" t="s">
        <v>217</v>
      </c>
      <c r="B353" t="s">
        <v>40</v>
      </c>
      <c r="C353" t="s">
        <v>220</v>
      </c>
      <c r="D353">
        <v>783840</v>
      </c>
      <c r="E353" t="s">
        <v>221</v>
      </c>
      <c r="F353">
        <v>19.283000000000001</v>
      </c>
      <c r="G353">
        <v>-81.349999999999994</v>
      </c>
      <c r="H353">
        <v>-5</v>
      </c>
      <c r="I353">
        <v>3</v>
      </c>
      <c r="J353" t="str">
        <f>HYPERLINK("https://climate.onebuilding.org/WMO_Region_4_North_and_Central_America/CYM_Cayman_Islands/CYM_GT_Georgetown-Roberts.Intl.AP.783840_TMYx.2004-2018.zip")</f>
        <v>https://climate.onebuilding.org/WMO_Region_4_North_and_Central_America/CYM_Cayman_Islands/CYM_GT_Georgetown-Roberts.Intl.AP.783840_TMYx.2004-2018.zip</v>
      </c>
    </row>
    <row r="354" spans="1:10" x14ac:dyDescent="0.25">
      <c r="A354" t="s">
        <v>217</v>
      </c>
      <c r="B354" t="s">
        <v>40</v>
      </c>
      <c r="C354" t="s">
        <v>220</v>
      </c>
      <c r="D354">
        <v>783840</v>
      </c>
      <c r="E354" t="s">
        <v>10</v>
      </c>
      <c r="F354">
        <v>19.29167</v>
      </c>
      <c r="G354">
        <v>-81.349999999999994</v>
      </c>
      <c r="H354">
        <v>-5</v>
      </c>
      <c r="I354">
        <v>3</v>
      </c>
      <c r="J354" t="str">
        <f>HYPERLINK("https://climate.onebuilding.org/WMO_Region_4_North_and_Central_America/CYM_Cayman_Islands/CYM_GT_Georgetown-Roberts.Intl.AP.783840_TMYx.2007-2021.zip")</f>
        <v>https://climate.onebuilding.org/WMO_Region_4_North_and_Central_America/CYM_Cayman_Islands/CYM_GT_Georgetown-Roberts.Intl.AP.783840_TMYx.2007-2021.zip</v>
      </c>
    </row>
    <row r="355" spans="1:10" x14ac:dyDescent="0.25">
      <c r="A355" t="s">
        <v>217</v>
      </c>
      <c r="B355" t="s">
        <v>40</v>
      </c>
      <c r="C355" t="s">
        <v>220</v>
      </c>
      <c r="D355">
        <v>783840</v>
      </c>
      <c r="E355" t="s">
        <v>10</v>
      </c>
      <c r="F355">
        <v>19.29167</v>
      </c>
      <c r="G355">
        <v>-81.349999999999994</v>
      </c>
      <c r="H355">
        <v>-5</v>
      </c>
      <c r="I355">
        <v>3</v>
      </c>
      <c r="J355" t="str">
        <f>HYPERLINK("https://climate.onebuilding.org/WMO_Region_4_North_and_Central_America/CYM_Cayman_Islands/CYM_GT_Georgetown-Roberts.Intl.AP.783840_TMYx.2009-2023.zip")</f>
        <v>https://climate.onebuilding.org/WMO_Region_4_North_and_Central_America/CYM_Cayman_Islands/CYM_GT_Georgetown-Roberts.Intl.AP.783840_TMYx.2009-2023.zip</v>
      </c>
    </row>
    <row r="356" spans="1:10" x14ac:dyDescent="0.25">
      <c r="A356" t="s">
        <v>217</v>
      </c>
      <c r="B356" t="s">
        <v>40</v>
      </c>
      <c r="C356" t="s">
        <v>220</v>
      </c>
      <c r="D356">
        <v>783840</v>
      </c>
      <c r="E356" t="s">
        <v>10</v>
      </c>
      <c r="F356">
        <v>19.29167</v>
      </c>
      <c r="G356">
        <v>-81.349999999999994</v>
      </c>
      <c r="H356">
        <v>-5</v>
      </c>
      <c r="I356">
        <v>3</v>
      </c>
      <c r="J356" t="str">
        <f>HYPERLINK("https://climate.onebuilding.org/WMO_Region_4_North_and_Central_America/CYM_Cayman_Islands/CYM_GT_Georgetown-Roberts.Intl.AP.783840_TMYx.zip")</f>
        <v>https://climate.onebuilding.org/WMO_Region_4_North_and_Central_America/CYM_Cayman_Islands/CYM_GT_Georgetown-Roberts.Intl.AP.783840_TMYx.zip</v>
      </c>
    </row>
    <row r="357" spans="1:10" x14ac:dyDescent="0.25">
      <c r="A357" t="s">
        <v>217</v>
      </c>
      <c r="B357" t="s">
        <v>218</v>
      </c>
      <c r="C357" t="s">
        <v>222</v>
      </c>
      <c r="D357">
        <v>783841</v>
      </c>
      <c r="E357" t="s">
        <v>223</v>
      </c>
      <c r="F357">
        <v>19.68938</v>
      </c>
      <c r="G357">
        <v>-79.882009999999994</v>
      </c>
      <c r="H357">
        <v>-5</v>
      </c>
      <c r="I357">
        <v>5</v>
      </c>
      <c r="J357" t="str">
        <f>HYPERLINK("https://climate.onebuilding.org/WMO_Region_4_North_and_Central_America/CYM_Cayman_Islands/CYM_SI_Kirkconnell.Intl.AP-Cayman.Brac.783841_TMYx.2004-2018.zip")</f>
        <v>https://climate.onebuilding.org/WMO_Region_4_North_and_Central_America/CYM_Cayman_Islands/CYM_SI_Kirkconnell.Intl.AP-Cayman.Brac.783841_TMYx.2004-2018.zip</v>
      </c>
    </row>
    <row r="358" spans="1:10" x14ac:dyDescent="0.25">
      <c r="A358" t="s">
        <v>217</v>
      </c>
      <c r="B358" t="s">
        <v>218</v>
      </c>
      <c r="C358" t="s">
        <v>222</v>
      </c>
      <c r="D358">
        <v>783841</v>
      </c>
      <c r="E358" t="s">
        <v>10</v>
      </c>
      <c r="F358">
        <v>19.68938</v>
      </c>
      <c r="G358">
        <v>-79.882009999999994</v>
      </c>
      <c r="H358">
        <v>-5</v>
      </c>
      <c r="I358">
        <v>5</v>
      </c>
      <c r="J358" t="str">
        <f>HYPERLINK("https://climate.onebuilding.org/WMO_Region_4_North_and_Central_America/CYM_Cayman_Islands/CYM_SI_Kirkconnell.Intl.AP-Cayman.Brac.783841_TMYx.2007-2021.zip")</f>
        <v>https://climate.onebuilding.org/WMO_Region_4_North_and_Central_America/CYM_Cayman_Islands/CYM_SI_Kirkconnell.Intl.AP-Cayman.Brac.783841_TMYx.2007-2021.zip</v>
      </c>
    </row>
    <row r="359" spans="1:10" x14ac:dyDescent="0.25">
      <c r="A359" t="s">
        <v>217</v>
      </c>
      <c r="B359" t="s">
        <v>218</v>
      </c>
      <c r="C359" t="s">
        <v>222</v>
      </c>
      <c r="D359">
        <v>783841</v>
      </c>
      <c r="E359" t="s">
        <v>10</v>
      </c>
      <c r="F359">
        <v>19.68938</v>
      </c>
      <c r="G359">
        <v>-79.882009999999994</v>
      </c>
      <c r="H359">
        <v>-5</v>
      </c>
      <c r="I359">
        <v>5</v>
      </c>
      <c r="J359" t="str">
        <f>HYPERLINK("https://climate.onebuilding.org/WMO_Region_4_North_and_Central_America/CYM_Cayman_Islands/CYM_SI_Kirkconnell.Intl.AP-Cayman.Brac.783841_TMYx.2009-2023.zip")</f>
        <v>https://climate.onebuilding.org/WMO_Region_4_North_and_Central_America/CYM_Cayman_Islands/CYM_SI_Kirkconnell.Intl.AP-Cayman.Brac.783841_TMYx.2009-2023.zip</v>
      </c>
    </row>
    <row r="360" spans="1:10" x14ac:dyDescent="0.25">
      <c r="A360" t="s">
        <v>217</v>
      </c>
      <c r="B360" t="s">
        <v>218</v>
      </c>
      <c r="C360" t="s">
        <v>222</v>
      </c>
      <c r="D360">
        <v>783841</v>
      </c>
      <c r="E360" t="s">
        <v>10</v>
      </c>
      <c r="F360">
        <v>19.68938</v>
      </c>
      <c r="G360">
        <v>-79.882009999999994</v>
      </c>
      <c r="H360">
        <v>-5</v>
      </c>
      <c r="I360">
        <v>5</v>
      </c>
      <c r="J360" t="str">
        <f>HYPERLINK("https://climate.onebuilding.org/WMO_Region_4_North_and_Central_America/CYM_Cayman_Islands/CYM_SI_Kirkconnell.Intl.AP-Cayman.Brac.783841_TMYx.zip")</f>
        <v>https://climate.onebuilding.org/WMO_Region_4_North_and_Central_America/CYM_Cayman_Islands/CYM_SI_Kirkconnell.Intl.AP-Cayman.Brac.783841_TMYx.zip</v>
      </c>
    </row>
    <row r="361" spans="1:10" x14ac:dyDescent="0.25">
      <c r="A361" t="s">
        <v>217</v>
      </c>
      <c r="B361" t="s">
        <v>218</v>
      </c>
      <c r="C361" t="s">
        <v>224</v>
      </c>
      <c r="D361">
        <v>783850</v>
      </c>
      <c r="E361" t="s">
        <v>18</v>
      </c>
      <c r="F361">
        <v>19.329049999999999</v>
      </c>
      <c r="G361">
        <v>-81.142910000000001</v>
      </c>
      <c r="H361">
        <v>-5</v>
      </c>
      <c r="I361">
        <v>8</v>
      </c>
      <c r="J361" t="str">
        <f>HYPERLINK("https://climate.onebuilding.org/WMO_Region_4_North_and_Central_America/CYM_Cayman_Islands/CYM_SI_High.Rock-Grand.Cayman.783850_TMYx.2007-2021.zip")</f>
        <v>https://climate.onebuilding.org/WMO_Region_4_North_and_Central_America/CYM_Cayman_Islands/CYM_SI_High.Rock-Grand.Cayman.783850_TMYx.2007-2021.zip</v>
      </c>
    </row>
    <row r="362" spans="1:10" x14ac:dyDescent="0.25">
      <c r="A362" t="s">
        <v>217</v>
      </c>
      <c r="B362" t="s">
        <v>218</v>
      </c>
      <c r="C362" t="s">
        <v>224</v>
      </c>
      <c r="D362">
        <v>783850</v>
      </c>
      <c r="E362" t="s">
        <v>18</v>
      </c>
      <c r="F362">
        <v>19.329049999999999</v>
      </c>
      <c r="G362">
        <v>-81.142910000000001</v>
      </c>
      <c r="H362">
        <v>-5</v>
      </c>
      <c r="I362">
        <v>8</v>
      </c>
      <c r="J362" t="str">
        <f>HYPERLINK("https://climate.onebuilding.org/WMO_Region_4_North_and_Central_America/CYM_Cayman_Islands/CYM_SI_High.Rock-Grand.Cayman.783850_TMYx.2009-2023.zip")</f>
        <v>https://climate.onebuilding.org/WMO_Region_4_North_and_Central_America/CYM_Cayman_Islands/CYM_SI_High.Rock-Grand.Cayman.783850_TMYx.2009-2023.zip</v>
      </c>
    </row>
    <row r="363" spans="1:10" x14ac:dyDescent="0.25">
      <c r="A363" t="s">
        <v>217</v>
      </c>
      <c r="B363" t="s">
        <v>218</v>
      </c>
      <c r="C363" t="s">
        <v>224</v>
      </c>
      <c r="D363">
        <v>783850</v>
      </c>
      <c r="E363" t="s">
        <v>18</v>
      </c>
      <c r="F363">
        <v>19.329049999999999</v>
      </c>
      <c r="G363">
        <v>-81.142910000000001</v>
      </c>
      <c r="H363">
        <v>-5</v>
      </c>
      <c r="I363">
        <v>8</v>
      </c>
      <c r="J363" t="str">
        <f>HYPERLINK("https://climate.onebuilding.org/WMO_Region_4_North_and_Central_America/CYM_Cayman_Islands/CYM_SI_High.Rock-Grand.Cayman.783850_TMYx.zip")</f>
        <v>https://climate.onebuilding.org/WMO_Region_4_North_and_Central_America/CYM_Cayman_Islands/CYM_SI_High.Rock-Grand.Cayman.783850_TMYx.zip</v>
      </c>
    </row>
    <row r="364" spans="1:10" x14ac:dyDescent="0.25">
      <c r="A364" t="s">
        <v>217</v>
      </c>
      <c r="B364" t="s">
        <v>218</v>
      </c>
      <c r="C364" t="s">
        <v>225</v>
      </c>
      <c r="D364">
        <v>998303</v>
      </c>
      <c r="E364" t="s">
        <v>18</v>
      </c>
      <c r="F364">
        <v>19.660309999999999</v>
      </c>
      <c r="G364">
        <v>-80.089659999999995</v>
      </c>
      <c r="H364">
        <v>-5</v>
      </c>
      <c r="I364">
        <v>5.9</v>
      </c>
      <c r="J364" t="str">
        <f>HYPERLINK("https://climate.onebuilding.org/WMO_Region_4_North_and_Central_America/CYM_Cayman_Islands/CYM_SI_Little.Cayman.AP.998303_TMYx.2007-2021.zip")</f>
        <v>https://climate.onebuilding.org/WMO_Region_4_North_and_Central_America/CYM_Cayman_Islands/CYM_SI_Little.Cayman.AP.998303_TMYx.2007-2021.zip</v>
      </c>
    </row>
    <row r="365" spans="1:10" x14ac:dyDescent="0.25">
      <c r="A365" t="s">
        <v>217</v>
      </c>
      <c r="B365" t="s">
        <v>218</v>
      </c>
      <c r="C365" t="s">
        <v>225</v>
      </c>
      <c r="D365">
        <v>998303</v>
      </c>
      <c r="E365" t="s">
        <v>18</v>
      </c>
      <c r="F365">
        <v>19.660309999999999</v>
      </c>
      <c r="G365">
        <v>-80.089659999999995</v>
      </c>
      <c r="H365">
        <v>-5</v>
      </c>
      <c r="I365">
        <v>5.9</v>
      </c>
      <c r="J365" t="str">
        <f>HYPERLINK("https://climate.onebuilding.org/WMO_Region_4_North_and_Central_America/CYM_Cayman_Islands/CYM_SI_Little.Cayman.AP.998303_TMYx.2009-2023.zip")</f>
        <v>https://climate.onebuilding.org/WMO_Region_4_North_and_Central_America/CYM_Cayman_Islands/CYM_SI_Little.Cayman.AP.998303_TMYx.2009-2023.zip</v>
      </c>
    </row>
    <row r="366" spans="1:10" x14ac:dyDescent="0.25">
      <c r="A366" t="s">
        <v>217</v>
      </c>
      <c r="B366" t="s">
        <v>218</v>
      </c>
      <c r="C366" t="s">
        <v>225</v>
      </c>
      <c r="D366">
        <v>998303</v>
      </c>
      <c r="E366" t="s">
        <v>18</v>
      </c>
      <c r="F366">
        <v>19.660309999999999</v>
      </c>
      <c r="G366">
        <v>-80.089659999999995</v>
      </c>
      <c r="H366">
        <v>-5</v>
      </c>
      <c r="I366">
        <v>5.9</v>
      </c>
      <c r="J366" t="str">
        <f>HYPERLINK("https://climate.onebuilding.org/WMO_Region_4_North_and_Central_America/CYM_Cayman_Islands/CYM_SI_Little.Cayman.AP.998303_TMYx.zip")</f>
        <v>https://climate.onebuilding.org/WMO_Region_4_North_and_Central_America/CYM_Cayman_Islands/CYM_SI_Little.Cayman.AP.998303_TMYx.zip</v>
      </c>
    </row>
    <row r="367" spans="1:10" x14ac:dyDescent="0.25">
      <c r="A367" t="s">
        <v>226</v>
      </c>
      <c r="B367" t="s">
        <v>227</v>
      </c>
      <c r="C367" t="s">
        <v>228</v>
      </c>
      <c r="D367">
        <v>788550</v>
      </c>
      <c r="E367" t="s">
        <v>10</v>
      </c>
      <c r="F367">
        <v>15.3</v>
      </c>
      <c r="G367">
        <v>-61.4</v>
      </c>
      <c r="H367">
        <v>-4</v>
      </c>
      <c r="I367">
        <v>72</v>
      </c>
      <c r="J367" t="str">
        <f>HYPERLINK("https://climate.onebuilding.org/WMO_Region_4_North_and_Central_America/DMA_Dominica/DMA_GO_Roseau.788550_TMYx.2007-2021.zip")</f>
        <v>https://climate.onebuilding.org/WMO_Region_4_North_and_Central_America/DMA_Dominica/DMA_GO_Roseau.788550_TMYx.2007-2021.zip</v>
      </c>
    </row>
    <row r="368" spans="1:10" x14ac:dyDescent="0.25">
      <c r="A368" t="s">
        <v>226</v>
      </c>
      <c r="B368" t="s">
        <v>227</v>
      </c>
      <c r="C368" t="s">
        <v>228</v>
      </c>
      <c r="D368">
        <v>788550</v>
      </c>
      <c r="E368" t="s">
        <v>10</v>
      </c>
      <c r="F368">
        <v>15.3</v>
      </c>
      <c r="G368">
        <v>-61.4</v>
      </c>
      <c r="H368">
        <v>-4</v>
      </c>
      <c r="I368">
        <v>72</v>
      </c>
      <c r="J368" t="str">
        <f>HYPERLINK("https://climate.onebuilding.org/WMO_Region_4_North_and_Central_America/DMA_Dominica/DMA_GO_Roseau.788550_TMYx.2009-2023.zip")</f>
        <v>https://climate.onebuilding.org/WMO_Region_4_North_and_Central_America/DMA_Dominica/DMA_GO_Roseau.788550_TMYx.2009-2023.zip</v>
      </c>
    </row>
    <row r="369" spans="1:10" x14ac:dyDescent="0.25">
      <c r="A369" t="s">
        <v>226</v>
      </c>
      <c r="B369" t="s">
        <v>227</v>
      </c>
      <c r="C369" t="s">
        <v>228</v>
      </c>
      <c r="D369">
        <v>788550</v>
      </c>
      <c r="E369" t="s">
        <v>10</v>
      </c>
      <c r="F369">
        <v>15.3</v>
      </c>
      <c r="G369">
        <v>-61.4</v>
      </c>
      <c r="H369">
        <v>-4</v>
      </c>
      <c r="I369">
        <v>72</v>
      </c>
      <c r="J369" t="str">
        <f>HYPERLINK("https://climate.onebuilding.org/WMO_Region_4_North_and_Central_America/DMA_Dominica/DMA_GO_Roseau.788550_TMYx.zip")</f>
        <v>https://climate.onebuilding.org/WMO_Region_4_North_and_Central_America/DMA_Dominica/DMA_GO_Roseau.788550_TMYx.zip</v>
      </c>
    </row>
    <row r="370" spans="1:10" x14ac:dyDescent="0.25">
      <c r="A370" t="s">
        <v>229</v>
      </c>
      <c r="B370" t="s">
        <v>230</v>
      </c>
      <c r="C370" t="s">
        <v>231</v>
      </c>
      <c r="D370">
        <v>784510</v>
      </c>
      <c r="E370" t="s">
        <v>10</v>
      </c>
      <c r="F370">
        <v>19.882999999999999</v>
      </c>
      <c r="G370">
        <v>-71.650000000000006</v>
      </c>
      <c r="H370">
        <v>-4</v>
      </c>
      <c r="I370">
        <v>2</v>
      </c>
      <c r="J370" t="str">
        <f>HYPERLINK("https://climate.onebuilding.org/WMO_Region_4_North_and_Central_America/DOM_Dominican_Republic/DOM_MC_Monte.Cristi.784510_TMYx.2007-2021.zip")</f>
        <v>https://climate.onebuilding.org/WMO_Region_4_North_and_Central_America/DOM_Dominican_Republic/DOM_MC_Monte.Cristi.784510_TMYx.2007-2021.zip</v>
      </c>
    </row>
    <row r="371" spans="1:10" x14ac:dyDescent="0.25">
      <c r="A371" t="s">
        <v>229</v>
      </c>
      <c r="B371" t="s">
        <v>230</v>
      </c>
      <c r="C371" t="s">
        <v>231</v>
      </c>
      <c r="D371">
        <v>784510</v>
      </c>
      <c r="E371" t="s">
        <v>10</v>
      </c>
      <c r="F371">
        <v>19.882999999999999</v>
      </c>
      <c r="G371">
        <v>-71.650000000000006</v>
      </c>
      <c r="H371">
        <v>-4</v>
      </c>
      <c r="I371">
        <v>2</v>
      </c>
      <c r="J371" t="str">
        <f>HYPERLINK("https://climate.onebuilding.org/WMO_Region_4_North_and_Central_America/DOM_Dominican_Republic/DOM_MC_Monte.Cristi.784510_TMYx.2009-2023.zip")</f>
        <v>https://climate.onebuilding.org/WMO_Region_4_North_and_Central_America/DOM_Dominican_Republic/DOM_MC_Monte.Cristi.784510_TMYx.2009-2023.zip</v>
      </c>
    </row>
    <row r="372" spans="1:10" x14ac:dyDescent="0.25">
      <c r="A372" t="s">
        <v>229</v>
      </c>
      <c r="B372" t="s">
        <v>230</v>
      </c>
      <c r="C372" t="s">
        <v>231</v>
      </c>
      <c r="D372">
        <v>784510</v>
      </c>
      <c r="E372" t="s">
        <v>10</v>
      </c>
      <c r="F372">
        <v>19.882999999999999</v>
      </c>
      <c r="G372">
        <v>-71.650000000000006</v>
      </c>
      <c r="H372">
        <v>-4</v>
      </c>
      <c r="I372">
        <v>2</v>
      </c>
      <c r="J372" t="str">
        <f>HYPERLINK("https://climate.onebuilding.org/WMO_Region_4_North_and_Central_America/DOM_Dominican_Republic/DOM_MC_Monte.Cristi.784510_TMYx.zip")</f>
        <v>https://climate.onebuilding.org/WMO_Region_4_North_and_Central_America/DOM_Dominican_Republic/DOM_MC_Monte.Cristi.784510_TMYx.zip</v>
      </c>
    </row>
    <row r="373" spans="1:10" x14ac:dyDescent="0.25">
      <c r="A373" t="s">
        <v>229</v>
      </c>
      <c r="B373" t="s">
        <v>232</v>
      </c>
      <c r="C373" t="s">
        <v>233</v>
      </c>
      <c r="D373">
        <v>784570</v>
      </c>
      <c r="E373" t="s">
        <v>234</v>
      </c>
      <c r="F373">
        <v>19.757999999999999</v>
      </c>
      <c r="G373">
        <v>-70.569999999999993</v>
      </c>
      <c r="H373">
        <v>-4</v>
      </c>
      <c r="I373">
        <v>4.5999999999999996</v>
      </c>
      <c r="J373" t="str">
        <f>HYPERLINK("https://climate.onebuilding.org/WMO_Region_4_North_and_Central_America/DOM_Dominican_Republic/DOM_PP_Luperon.Intl.AP-Puerto.Plata.Intl.AP.784570_TMYx.2004-2018.zip")</f>
        <v>https://climate.onebuilding.org/WMO_Region_4_North_and_Central_America/DOM_Dominican_Republic/DOM_PP_Luperon.Intl.AP-Puerto.Plata.Intl.AP.784570_TMYx.2004-2018.zip</v>
      </c>
    </row>
    <row r="374" spans="1:10" x14ac:dyDescent="0.25">
      <c r="A374" t="s">
        <v>229</v>
      </c>
      <c r="B374" t="s">
        <v>232</v>
      </c>
      <c r="C374" t="s">
        <v>233</v>
      </c>
      <c r="D374">
        <v>784570</v>
      </c>
      <c r="E374" t="s">
        <v>10</v>
      </c>
      <c r="F374">
        <v>19.757999999999999</v>
      </c>
      <c r="G374">
        <v>-70.569999999999993</v>
      </c>
      <c r="H374">
        <v>-4</v>
      </c>
      <c r="I374">
        <v>4.5999999999999996</v>
      </c>
      <c r="J374" t="str">
        <f>HYPERLINK("https://climate.onebuilding.org/WMO_Region_4_North_and_Central_America/DOM_Dominican_Republic/DOM_PP_Luperon.Intl.AP-Puerto.Plata.Intl.AP.784570_TMYx.2007-2021.zip")</f>
        <v>https://climate.onebuilding.org/WMO_Region_4_North_and_Central_America/DOM_Dominican_Republic/DOM_PP_Luperon.Intl.AP-Puerto.Plata.Intl.AP.784570_TMYx.2007-2021.zip</v>
      </c>
    </row>
    <row r="375" spans="1:10" x14ac:dyDescent="0.25">
      <c r="A375" t="s">
        <v>229</v>
      </c>
      <c r="B375" t="s">
        <v>232</v>
      </c>
      <c r="C375" t="s">
        <v>233</v>
      </c>
      <c r="D375">
        <v>784570</v>
      </c>
      <c r="E375" t="s">
        <v>10</v>
      </c>
      <c r="F375">
        <v>19.757999999999999</v>
      </c>
      <c r="G375">
        <v>-70.569999999999993</v>
      </c>
      <c r="H375">
        <v>-4</v>
      </c>
      <c r="I375">
        <v>4.5999999999999996</v>
      </c>
      <c r="J375" t="str">
        <f>HYPERLINK("https://climate.onebuilding.org/WMO_Region_4_North_and_Central_America/DOM_Dominican_Republic/DOM_PP_Luperon.Intl.AP-Puerto.Plata.Intl.AP.784570_TMYx.2009-2023.zip")</f>
        <v>https://climate.onebuilding.org/WMO_Region_4_North_and_Central_America/DOM_Dominican_Republic/DOM_PP_Luperon.Intl.AP-Puerto.Plata.Intl.AP.784570_TMYx.2009-2023.zip</v>
      </c>
    </row>
    <row r="376" spans="1:10" x14ac:dyDescent="0.25">
      <c r="A376" t="s">
        <v>229</v>
      </c>
      <c r="B376" t="s">
        <v>232</v>
      </c>
      <c r="C376" t="s">
        <v>233</v>
      </c>
      <c r="D376">
        <v>784570</v>
      </c>
      <c r="E376" t="s">
        <v>10</v>
      </c>
      <c r="F376">
        <v>19.757999999999999</v>
      </c>
      <c r="G376">
        <v>-70.569999999999993</v>
      </c>
      <c r="H376">
        <v>-4</v>
      </c>
      <c r="I376">
        <v>4.5999999999999996</v>
      </c>
      <c r="J376" t="str">
        <f>HYPERLINK("https://climate.onebuilding.org/WMO_Region_4_North_and_Central_America/DOM_Dominican_Republic/DOM_PP_Luperon.Intl.AP-Puerto.Plata.Intl.AP.784570_TMYx.zip")</f>
        <v>https://climate.onebuilding.org/WMO_Region_4_North_and_Central_America/DOM_Dominican_Republic/DOM_PP_Luperon.Intl.AP-Puerto.Plata.Intl.AP.784570_TMYx.zip</v>
      </c>
    </row>
    <row r="377" spans="1:10" x14ac:dyDescent="0.25">
      <c r="A377" t="s">
        <v>229</v>
      </c>
      <c r="B377" t="s">
        <v>235</v>
      </c>
      <c r="C377" t="s">
        <v>236</v>
      </c>
      <c r="D377">
        <v>784575</v>
      </c>
      <c r="E377" t="s">
        <v>237</v>
      </c>
      <c r="F377">
        <v>19.266999999999999</v>
      </c>
      <c r="G377">
        <v>-69.75</v>
      </c>
      <c r="H377">
        <v>-4</v>
      </c>
      <c r="I377">
        <v>4</v>
      </c>
      <c r="J377" t="str">
        <f>HYPERLINK("https://climate.onebuilding.org/WMO_Region_4_North_and_Central_America/DOM_Dominican_Republic/DOM_SM_Samana.784575_TMYx.2004-2018.zip")</f>
        <v>https://climate.onebuilding.org/WMO_Region_4_North_and_Central_America/DOM_Dominican_Republic/DOM_SM_Samana.784575_TMYx.2004-2018.zip</v>
      </c>
    </row>
    <row r="378" spans="1:10" x14ac:dyDescent="0.25">
      <c r="A378" t="s">
        <v>229</v>
      </c>
      <c r="B378" t="s">
        <v>235</v>
      </c>
      <c r="C378" t="s">
        <v>236</v>
      </c>
      <c r="D378">
        <v>784575</v>
      </c>
      <c r="E378" t="s">
        <v>10</v>
      </c>
      <c r="F378">
        <v>19.266999999999999</v>
      </c>
      <c r="G378">
        <v>-69.75</v>
      </c>
      <c r="H378">
        <v>-4</v>
      </c>
      <c r="I378">
        <v>4</v>
      </c>
      <c r="J378" t="str">
        <f>HYPERLINK("https://climate.onebuilding.org/WMO_Region_4_North_and_Central_America/DOM_Dominican_Republic/DOM_SM_Samana.784575_TMYx.2007-2021.zip")</f>
        <v>https://climate.onebuilding.org/WMO_Region_4_North_and_Central_America/DOM_Dominican_Republic/DOM_SM_Samana.784575_TMYx.2007-2021.zip</v>
      </c>
    </row>
    <row r="379" spans="1:10" x14ac:dyDescent="0.25">
      <c r="A379" t="s">
        <v>229</v>
      </c>
      <c r="B379" t="s">
        <v>235</v>
      </c>
      <c r="C379" t="s">
        <v>236</v>
      </c>
      <c r="D379">
        <v>784575</v>
      </c>
      <c r="E379" t="s">
        <v>10</v>
      </c>
      <c r="F379">
        <v>19.266999999999999</v>
      </c>
      <c r="G379">
        <v>-69.75</v>
      </c>
      <c r="H379">
        <v>-4</v>
      </c>
      <c r="I379">
        <v>4</v>
      </c>
      <c r="J379" t="str">
        <f>HYPERLINK("https://climate.onebuilding.org/WMO_Region_4_North_and_Central_America/DOM_Dominican_Republic/DOM_SM_Samana.784575_TMYx.2009-2023.zip")</f>
        <v>https://climate.onebuilding.org/WMO_Region_4_North_and_Central_America/DOM_Dominican_Republic/DOM_SM_Samana.784575_TMYx.2009-2023.zip</v>
      </c>
    </row>
    <row r="380" spans="1:10" x14ac:dyDescent="0.25">
      <c r="A380" t="s">
        <v>229</v>
      </c>
      <c r="B380" t="s">
        <v>235</v>
      </c>
      <c r="C380" t="s">
        <v>236</v>
      </c>
      <c r="D380">
        <v>784575</v>
      </c>
      <c r="E380" t="s">
        <v>10</v>
      </c>
      <c r="F380">
        <v>19.266999999999999</v>
      </c>
      <c r="G380">
        <v>-69.75</v>
      </c>
      <c r="H380">
        <v>-4</v>
      </c>
      <c r="I380">
        <v>4</v>
      </c>
      <c r="J380" t="str">
        <f>HYPERLINK("https://climate.onebuilding.org/WMO_Region_4_North_and_Central_America/DOM_Dominican_Republic/DOM_SM_Samana.784575_TMYx.zip")</f>
        <v>https://climate.onebuilding.org/WMO_Region_4_North_and_Central_America/DOM_Dominican_Republic/DOM_SM_Samana.784575_TMYx.zip</v>
      </c>
    </row>
    <row r="381" spans="1:10" x14ac:dyDescent="0.25">
      <c r="A381" t="s">
        <v>229</v>
      </c>
      <c r="B381" t="s">
        <v>232</v>
      </c>
      <c r="C381" t="s">
        <v>238</v>
      </c>
      <c r="D381">
        <v>784580</v>
      </c>
      <c r="E381" t="s">
        <v>239</v>
      </c>
      <c r="F381">
        <v>19.75</v>
      </c>
      <c r="G381">
        <v>-70.55</v>
      </c>
      <c r="H381">
        <v>-4</v>
      </c>
      <c r="I381">
        <v>5</v>
      </c>
      <c r="J381" t="str">
        <f>HYPERLINK("https://climate.onebuilding.org/WMO_Region_4_North_and_Central_America/DOM_Dominican_Republic/DOM_PP_Puerto.Plata.784580_TMYx.2004-2018.zip")</f>
        <v>https://climate.onebuilding.org/WMO_Region_4_North_and_Central_America/DOM_Dominican_Republic/DOM_PP_Puerto.Plata.784580_TMYx.2004-2018.zip</v>
      </c>
    </row>
    <row r="382" spans="1:10" x14ac:dyDescent="0.25">
      <c r="A382" t="s">
        <v>229</v>
      </c>
      <c r="B382" t="s">
        <v>232</v>
      </c>
      <c r="C382" t="s">
        <v>238</v>
      </c>
      <c r="D382">
        <v>784580</v>
      </c>
      <c r="E382" t="s">
        <v>10</v>
      </c>
      <c r="F382">
        <v>19.75</v>
      </c>
      <c r="G382">
        <v>-70.55</v>
      </c>
      <c r="H382">
        <v>-4</v>
      </c>
      <c r="I382">
        <v>5</v>
      </c>
      <c r="J382" t="str">
        <f>HYPERLINK("https://climate.onebuilding.org/WMO_Region_4_North_and_Central_America/DOM_Dominican_Republic/DOM_PP_Puerto.Plata.784580_TMYx.2007-2021.zip")</f>
        <v>https://climate.onebuilding.org/WMO_Region_4_North_and_Central_America/DOM_Dominican_Republic/DOM_PP_Puerto.Plata.784580_TMYx.2007-2021.zip</v>
      </c>
    </row>
    <row r="383" spans="1:10" x14ac:dyDescent="0.25">
      <c r="A383" t="s">
        <v>229</v>
      </c>
      <c r="B383" t="s">
        <v>232</v>
      </c>
      <c r="C383" t="s">
        <v>238</v>
      </c>
      <c r="D383">
        <v>784580</v>
      </c>
      <c r="E383" t="s">
        <v>10</v>
      </c>
      <c r="F383">
        <v>19.75</v>
      </c>
      <c r="G383">
        <v>-70.55</v>
      </c>
      <c r="H383">
        <v>-4</v>
      </c>
      <c r="I383">
        <v>5</v>
      </c>
      <c r="J383" t="str">
        <f>HYPERLINK("https://climate.onebuilding.org/WMO_Region_4_North_and_Central_America/DOM_Dominican_Republic/DOM_PP_Puerto.Plata.784580_TMYx.2009-2023.zip")</f>
        <v>https://climate.onebuilding.org/WMO_Region_4_North_and_Central_America/DOM_Dominican_Republic/DOM_PP_Puerto.Plata.784580_TMYx.2009-2023.zip</v>
      </c>
    </row>
    <row r="384" spans="1:10" x14ac:dyDescent="0.25">
      <c r="A384" t="s">
        <v>229</v>
      </c>
      <c r="B384" t="s">
        <v>232</v>
      </c>
      <c r="C384" t="s">
        <v>238</v>
      </c>
      <c r="D384">
        <v>784580</v>
      </c>
      <c r="E384" t="s">
        <v>10</v>
      </c>
      <c r="F384">
        <v>19.75</v>
      </c>
      <c r="G384">
        <v>-70.55</v>
      </c>
      <c r="H384">
        <v>-4</v>
      </c>
      <c r="I384">
        <v>5</v>
      </c>
      <c r="J384" t="str">
        <f>HYPERLINK("https://climate.onebuilding.org/WMO_Region_4_North_and_Central_America/DOM_Dominican_Republic/DOM_PP_Puerto.Plata.784580_TMYx.zip")</f>
        <v>https://climate.onebuilding.org/WMO_Region_4_North_and_Central_America/DOM_Dominican_Republic/DOM_PP_Puerto.Plata.784580_TMYx.zip</v>
      </c>
    </row>
    <row r="385" spans="1:10" x14ac:dyDescent="0.25">
      <c r="A385" t="s">
        <v>229</v>
      </c>
      <c r="B385" t="s">
        <v>240</v>
      </c>
      <c r="C385" t="s">
        <v>241</v>
      </c>
      <c r="D385">
        <v>784600</v>
      </c>
      <c r="E385" t="s">
        <v>242</v>
      </c>
      <c r="F385">
        <v>19.405999999999999</v>
      </c>
      <c r="G385">
        <v>-70.605000000000004</v>
      </c>
      <c r="H385">
        <v>-4</v>
      </c>
      <c r="I385">
        <v>172.2</v>
      </c>
      <c r="J385" t="str">
        <f>HYPERLINK("https://climate.onebuilding.org/WMO_Region_4_North_and_Central_America/DOM_Dominican_Republic/DOM_ST_Santiago-Cibao.Intl.AP.784600_TMYx.2004-2018.zip")</f>
        <v>https://climate.onebuilding.org/WMO_Region_4_North_and_Central_America/DOM_Dominican_Republic/DOM_ST_Santiago-Cibao.Intl.AP.784600_TMYx.2004-2018.zip</v>
      </c>
    </row>
    <row r="386" spans="1:10" x14ac:dyDescent="0.25">
      <c r="A386" t="s">
        <v>229</v>
      </c>
      <c r="B386" t="s">
        <v>240</v>
      </c>
      <c r="C386" t="s">
        <v>241</v>
      </c>
      <c r="D386">
        <v>784600</v>
      </c>
      <c r="E386" t="s">
        <v>10</v>
      </c>
      <c r="F386">
        <v>19.405999999999999</v>
      </c>
      <c r="G386">
        <v>-70.605000000000004</v>
      </c>
      <c r="H386">
        <v>-4</v>
      </c>
      <c r="I386">
        <v>172.2</v>
      </c>
      <c r="J386" t="str">
        <f>HYPERLINK("https://climate.onebuilding.org/WMO_Region_4_North_and_Central_America/DOM_Dominican_Republic/DOM_ST_Santiago-Cibao.Intl.AP.784600_TMYx.2007-2021.zip")</f>
        <v>https://climate.onebuilding.org/WMO_Region_4_North_and_Central_America/DOM_Dominican_Republic/DOM_ST_Santiago-Cibao.Intl.AP.784600_TMYx.2007-2021.zip</v>
      </c>
    </row>
    <row r="387" spans="1:10" x14ac:dyDescent="0.25">
      <c r="A387" t="s">
        <v>229</v>
      </c>
      <c r="B387" t="s">
        <v>240</v>
      </c>
      <c r="C387" t="s">
        <v>241</v>
      </c>
      <c r="D387">
        <v>784600</v>
      </c>
      <c r="E387" t="s">
        <v>10</v>
      </c>
      <c r="F387">
        <v>19.405999999999999</v>
      </c>
      <c r="G387">
        <v>-70.605000000000004</v>
      </c>
      <c r="H387">
        <v>-4</v>
      </c>
      <c r="I387">
        <v>172.2</v>
      </c>
      <c r="J387" t="str">
        <f>HYPERLINK("https://climate.onebuilding.org/WMO_Region_4_North_and_Central_America/DOM_Dominican_Republic/DOM_ST_Santiago-Cibao.Intl.AP.784600_TMYx.2009-2023.zip")</f>
        <v>https://climate.onebuilding.org/WMO_Region_4_North_and_Central_America/DOM_Dominican_Republic/DOM_ST_Santiago-Cibao.Intl.AP.784600_TMYx.2009-2023.zip</v>
      </c>
    </row>
    <row r="388" spans="1:10" x14ac:dyDescent="0.25">
      <c r="A388" t="s">
        <v>229</v>
      </c>
      <c r="B388" t="s">
        <v>240</v>
      </c>
      <c r="C388" t="s">
        <v>241</v>
      </c>
      <c r="D388">
        <v>784600</v>
      </c>
      <c r="E388" t="s">
        <v>10</v>
      </c>
      <c r="F388">
        <v>19.405999999999999</v>
      </c>
      <c r="G388">
        <v>-70.605000000000004</v>
      </c>
      <c r="H388">
        <v>-4</v>
      </c>
      <c r="I388">
        <v>172.2</v>
      </c>
      <c r="J388" t="str">
        <f>HYPERLINK("https://climate.onebuilding.org/WMO_Region_4_North_and_Central_America/DOM_Dominican_Republic/DOM_ST_Santiago-Cibao.Intl.AP.784600_TMYx.zip")</f>
        <v>https://climate.onebuilding.org/WMO_Region_4_North_and_Central_America/DOM_Dominican_Republic/DOM_ST_Santiago-Cibao.Intl.AP.784600_TMYx.zip</v>
      </c>
    </row>
    <row r="389" spans="1:10" x14ac:dyDescent="0.25">
      <c r="A389" t="s">
        <v>229</v>
      </c>
      <c r="B389" t="s">
        <v>243</v>
      </c>
      <c r="C389" t="s">
        <v>244</v>
      </c>
      <c r="D389">
        <v>784640</v>
      </c>
      <c r="E389" t="s">
        <v>10</v>
      </c>
      <c r="F389">
        <v>19.632999999999999</v>
      </c>
      <c r="G389">
        <v>-69.882999999999996</v>
      </c>
      <c r="H389">
        <v>-4</v>
      </c>
      <c r="I389">
        <v>14</v>
      </c>
      <c r="J389" t="str">
        <f>HYPERLINK("https://climate.onebuilding.org/WMO_Region_4_North_and_Central_America/DOM_Dominican_Republic/DOM_MT_Cabrera.784640_TMYx.2007-2021.zip")</f>
        <v>https://climate.onebuilding.org/WMO_Region_4_North_and_Central_America/DOM_Dominican_Republic/DOM_MT_Cabrera.784640_TMYx.2007-2021.zip</v>
      </c>
    </row>
    <row r="390" spans="1:10" x14ac:dyDescent="0.25">
      <c r="A390" t="s">
        <v>229</v>
      </c>
      <c r="B390" t="s">
        <v>243</v>
      </c>
      <c r="C390" t="s">
        <v>244</v>
      </c>
      <c r="D390">
        <v>784640</v>
      </c>
      <c r="E390" t="s">
        <v>10</v>
      </c>
      <c r="F390">
        <v>19.632999999999999</v>
      </c>
      <c r="G390">
        <v>-69.882999999999996</v>
      </c>
      <c r="H390">
        <v>-4</v>
      </c>
      <c r="I390">
        <v>14</v>
      </c>
      <c r="J390" t="str">
        <f>HYPERLINK("https://climate.onebuilding.org/WMO_Region_4_North_and_Central_America/DOM_Dominican_Republic/DOM_MT_Cabrera.784640_TMYx.2009-2023.zip")</f>
        <v>https://climate.onebuilding.org/WMO_Region_4_North_and_Central_America/DOM_Dominican_Republic/DOM_MT_Cabrera.784640_TMYx.2009-2023.zip</v>
      </c>
    </row>
    <row r="391" spans="1:10" x14ac:dyDescent="0.25">
      <c r="A391" t="s">
        <v>229</v>
      </c>
      <c r="B391" t="s">
        <v>243</v>
      </c>
      <c r="C391" t="s">
        <v>244</v>
      </c>
      <c r="D391">
        <v>784640</v>
      </c>
      <c r="E391" t="s">
        <v>10</v>
      </c>
      <c r="F391">
        <v>19.632999999999999</v>
      </c>
      <c r="G391">
        <v>-69.882999999999996</v>
      </c>
      <c r="H391">
        <v>-4</v>
      </c>
      <c r="I391">
        <v>14</v>
      </c>
      <c r="J391" t="str">
        <f>HYPERLINK("https://climate.onebuilding.org/WMO_Region_4_North_and_Central_America/DOM_Dominican_Republic/DOM_MT_Cabrera.784640_TMYx.zip")</f>
        <v>https://climate.onebuilding.org/WMO_Region_4_North_and_Central_America/DOM_Dominican_Republic/DOM_MT_Cabrera.784640_TMYx.zip</v>
      </c>
    </row>
    <row r="392" spans="1:10" x14ac:dyDescent="0.25">
      <c r="A392" t="s">
        <v>229</v>
      </c>
      <c r="B392" t="s">
        <v>245</v>
      </c>
      <c r="C392" t="s">
        <v>246</v>
      </c>
      <c r="D392">
        <v>784645</v>
      </c>
      <c r="E392" t="s">
        <v>18</v>
      </c>
      <c r="F392">
        <v>19.05</v>
      </c>
      <c r="G392">
        <v>-70.150000000000006</v>
      </c>
      <c r="H392">
        <v>-4</v>
      </c>
      <c r="I392">
        <v>131</v>
      </c>
      <c r="J392" t="str">
        <f>HYPERLINK("https://climate.onebuilding.org/WMO_Region_4_North_and_Central_America/DOM_Dominican_Republic/DOM_SZ_Cotui-San.Miguel.784645_TMYx.2007-2021.zip")</f>
        <v>https://climate.onebuilding.org/WMO_Region_4_North_and_Central_America/DOM_Dominican_Republic/DOM_SZ_Cotui-San.Miguel.784645_TMYx.2007-2021.zip</v>
      </c>
    </row>
    <row r="393" spans="1:10" x14ac:dyDescent="0.25">
      <c r="A393" t="s">
        <v>229</v>
      </c>
      <c r="B393" t="s">
        <v>245</v>
      </c>
      <c r="C393" t="s">
        <v>246</v>
      </c>
      <c r="D393">
        <v>784645</v>
      </c>
      <c r="E393" t="s">
        <v>18</v>
      </c>
      <c r="F393">
        <v>19.05</v>
      </c>
      <c r="G393">
        <v>-70.150000000000006</v>
      </c>
      <c r="H393">
        <v>-4</v>
      </c>
      <c r="I393">
        <v>131</v>
      </c>
      <c r="J393" t="str">
        <f>HYPERLINK("https://climate.onebuilding.org/WMO_Region_4_North_and_Central_America/DOM_Dominican_Republic/DOM_SZ_Cotui-San.Miguel.784645_TMYx.2009-2023.zip")</f>
        <v>https://climate.onebuilding.org/WMO_Region_4_North_and_Central_America/DOM_Dominican_Republic/DOM_SZ_Cotui-San.Miguel.784645_TMYx.2009-2023.zip</v>
      </c>
    </row>
    <row r="394" spans="1:10" x14ac:dyDescent="0.25">
      <c r="A394" t="s">
        <v>229</v>
      </c>
      <c r="B394" t="s">
        <v>245</v>
      </c>
      <c r="C394" t="s">
        <v>246</v>
      </c>
      <c r="D394">
        <v>784645</v>
      </c>
      <c r="E394" t="s">
        <v>18</v>
      </c>
      <c r="F394">
        <v>19.05</v>
      </c>
      <c r="G394">
        <v>-70.150000000000006</v>
      </c>
      <c r="H394">
        <v>-4</v>
      </c>
      <c r="I394">
        <v>131</v>
      </c>
      <c r="J394" t="str">
        <f>HYPERLINK("https://climate.onebuilding.org/WMO_Region_4_North_and_Central_America/DOM_Dominican_Republic/DOM_SZ_Cotui-San.Miguel.784645_TMYx.zip")</f>
        <v>https://climate.onebuilding.org/WMO_Region_4_North_and_Central_America/DOM_Dominican_Republic/DOM_SZ_Cotui-San.Miguel.784645_TMYx.zip</v>
      </c>
    </row>
    <row r="395" spans="1:10" x14ac:dyDescent="0.25">
      <c r="A395" t="s">
        <v>229</v>
      </c>
      <c r="B395" t="s">
        <v>235</v>
      </c>
      <c r="C395" t="s">
        <v>247</v>
      </c>
      <c r="D395">
        <v>784660</v>
      </c>
      <c r="E395" t="s">
        <v>10</v>
      </c>
      <c r="F395">
        <v>19.2</v>
      </c>
      <c r="G395">
        <v>-69.45</v>
      </c>
      <c r="H395">
        <v>-4</v>
      </c>
      <c r="I395">
        <v>42</v>
      </c>
      <c r="J395" t="str">
        <f>HYPERLINK("https://climate.onebuilding.org/WMO_Region_4_North_and_Central_America/DOM_Dominican_Republic/DOM_SM_Samana-Arroyo.Barril.784660_TMYx.2007-2021.zip")</f>
        <v>https://climate.onebuilding.org/WMO_Region_4_North_and_Central_America/DOM_Dominican_Republic/DOM_SM_Samana-Arroyo.Barril.784660_TMYx.2007-2021.zip</v>
      </c>
    </row>
    <row r="396" spans="1:10" x14ac:dyDescent="0.25">
      <c r="A396" t="s">
        <v>229</v>
      </c>
      <c r="B396" t="s">
        <v>235</v>
      </c>
      <c r="C396" t="s">
        <v>247</v>
      </c>
      <c r="D396">
        <v>784660</v>
      </c>
      <c r="E396" t="s">
        <v>10</v>
      </c>
      <c r="F396">
        <v>19.2</v>
      </c>
      <c r="G396">
        <v>-69.45</v>
      </c>
      <c r="H396">
        <v>-4</v>
      </c>
      <c r="I396">
        <v>42</v>
      </c>
      <c r="J396" t="str">
        <f>HYPERLINK("https://climate.onebuilding.org/WMO_Region_4_North_and_Central_America/DOM_Dominican_Republic/DOM_SM_Samana-Arroyo.Barril.784660_TMYx.2009-2023.zip")</f>
        <v>https://climate.onebuilding.org/WMO_Region_4_North_and_Central_America/DOM_Dominican_Republic/DOM_SM_Samana-Arroyo.Barril.784660_TMYx.2009-2023.zip</v>
      </c>
    </row>
    <row r="397" spans="1:10" x14ac:dyDescent="0.25">
      <c r="A397" t="s">
        <v>229</v>
      </c>
      <c r="B397" t="s">
        <v>235</v>
      </c>
      <c r="C397" t="s">
        <v>247</v>
      </c>
      <c r="D397">
        <v>784660</v>
      </c>
      <c r="E397" t="s">
        <v>10</v>
      </c>
      <c r="F397">
        <v>19.2</v>
      </c>
      <c r="G397">
        <v>-69.45</v>
      </c>
      <c r="H397">
        <v>-4</v>
      </c>
      <c r="I397">
        <v>42</v>
      </c>
      <c r="J397" t="str">
        <f>HYPERLINK("https://climate.onebuilding.org/WMO_Region_4_North_and_Central_America/DOM_Dominican_Republic/DOM_SM_Samana-Arroyo.Barril.784660_TMYx.zip")</f>
        <v>https://climate.onebuilding.org/WMO_Region_4_North_and_Central_America/DOM_Dominican_Republic/DOM_SM_Samana-Arroyo.Barril.784660_TMYx.zip</v>
      </c>
    </row>
    <row r="398" spans="1:10" x14ac:dyDescent="0.25">
      <c r="A398" t="s">
        <v>229</v>
      </c>
      <c r="B398" t="s">
        <v>248</v>
      </c>
      <c r="C398" t="s">
        <v>249</v>
      </c>
      <c r="D398">
        <v>784670</v>
      </c>
      <c r="E398" t="s">
        <v>250</v>
      </c>
      <c r="F398">
        <v>19.05</v>
      </c>
      <c r="G398">
        <v>-69.382999999999996</v>
      </c>
      <c r="H398">
        <v>-4</v>
      </c>
      <c r="I398">
        <v>10</v>
      </c>
      <c r="J398" t="str">
        <f>HYPERLINK("https://climate.onebuilding.org/WMO_Region_4_North_and_Central_America/DOM_Dominican_Republic/DOM_HM_Sabana.De.La.Mar.784670_TMYx.2004-2018.zip")</f>
        <v>https://climate.onebuilding.org/WMO_Region_4_North_and_Central_America/DOM_Dominican_Republic/DOM_HM_Sabana.De.La.Mar.784670_TMYx.2004-2018.zip</v>
      </c>
    </row>
    <row r="399" spans="1:10" x14ac:dyDescent="0.25">
      <c r="A399" t="s">
        <v>229</v>
      </c>
      <c r="B399" t="s">
        <v>248</v>
      </c>
      <c r="C399" t="s">
        <v>249</v>
      </c>
      <c r="D399">
        <v>784670</v>
      </c>
      <c r="E399" t="s">
        <v>10</v>
      </c>
      <c r="F399">
        <v>19.05</v>
      </c>
      <c r="G399">
        <v>-69.382999999999996</v>
      </c>
      <c r="H399">
        <v>-4</v>
      </c>
      <c r="I399">
        <v>10</v>
      </c>
      <c r="J399" t="str">
        <f>HYPERLINK("https://climate.onebuilding.org/WMO_Region_4_North_and_Central_America/DOM_Dominican_Republic/DOM_HM_Sabana.De.La.Mar.784670_TMYx.2007-2021.zip")</f>
        <v>https://climate.onebuilding.org/WMO_Region_4_North_and_Central_America/DOM_Dominican_Republic/DOM_HM_Sabana.De.La.Mar.784670_TMYx.2007-2021.zip</v>
      </c>
    </row>
    <row r="400" spans="1:10" x14ac:dyDescent="0.25">
      <c r="A400" t="s">
        <v>229</v>
      </c>
      <c r="B400" t="s">
        <v>248</v>
      </c>
      <c r="C400" t="s">
        <v>249</v>
      </c>
      <c r="D400">
        <v>784670</v>
      </c>
      <c r="E400" t="s">
        <v>10</v>
      </c>
      <c r="F400">
        <v>19.05</v>
      </c>
      <c r="G400">
        <v>-69.382999999999996</v>
      </c>
      <c r="H400">
        <v>-4</v>
      </c>
      <c r="I400">
        <v>10</v>
      </c>
      <c r="J400" t="str">
        <f>HYPERLINK("https://climate.onebuilding.org/WMO_Region_4_North_and_Central_America/DOM_Dominican_Republic/DOM_HM_Sabana.De.La.Mar.784670_TMYx.2009-2023.zip")</f>
        <v>https://climate.onebuilding.org/WMO_Region_4_North_and_Central_America/DOM_Dominican_Republic/DOM_HM_Sabana.De.La.Mar.784670_TMYx.2009-2023.zip</v>
      </c>
    </row>
    <row r="401" spans="1:10" x14ac:dyDescent="0.25">
      <c r="A401" t="s">
        <v>229</v>
      </c>
      <c r="B401" t="s">
        <v>248</v>
      </c>
      <c r="C401" t="s">
        <v>249</v>
      </c>
      <c r="D401">
        <v>784670</v>
      </c>
      <c r="E401" t="s">
        <v>10</v>
      </c>
      <c r="F401">
        <v>19.05</v>
      </c>
      <c r="G401">
        <v>-69.382999999999996</v>
      </c>
      <c r="H401">
        <v>-4</v>
      </c>
      <c r="I401">
        <v>10</v>
      </c>
      <c r="J401" t="str">
        <f>HYPERLINK("https://climate.onebuilding.org/WMO_Region_4_North_and_Central_America/DOM_Dominican_Republic/DOM_HM_Sabana.De.La.Mar.784670_TMYx.zip")</f>
        <v>https://climate.onebuilding.org/WMO_Region_4_North_and_Central_America/DOM_Dominican_Republic/DOM_HM_Sabana.De.La.Mar.784670_TMYx.zip</v>
      </c>
    </row>
    <row r="402" spans="1:10" x14ac:dyDescent="0.25">
      <c r="A402" t="s">
        <v>229</v>
      </c>
      <c r="B402" t="s">
        <v>251</v>
      </c>
      <c r="C402" t="s">
        <v>252</v>
      </c>
      <c r="D402">
        <v>784730</v>
      </c>
      <c r="E402" t="s">
        <v>10</v>
      </c>
      <c r="F402">
        <v>18.75</v>
      </c>
      <c r="G402">
        <v>-69.632999999999996</v>
      </c>
      <c r="H402">
        <v>-4</v>
      </c>
      <c r="I402">
        <v>76</v>
      </c>
      <c r="J402" t="str">
        <f>HYPERLINK("https://climate.onebuilding.org/WMO_Region_4_North_and_Central_America/DOM_Dominican_Republic/DOM_MP_Bayaguana.784730_TMYx.2007-2021.zip")</f>
        <v>https://climate.onebuilding.org/WMO_Region_4_North_and_Central_America/DOM_Dominican_Republic/DOM_MP_Bayaguana.784730_TMYx.2007-2021.zip</v>
      </c>
    </row>
    <row r="403" spans="1:10" x14ac:dyDescent="0.25">
      <c r="A403" t="s">
        <v>229</v>
      </c>
      <c r="B403" t="s">
        <v>251</v>
      </c>
      <c r="C403" t="s">
        <v>252</v>
      </c>
      <c r="D403">
        <v>784730</v>
      </c>
      <c r="E403" t="s">
        <v>10</v>
      </c>
      <c r="F403">
        <v>18.75</v>
      </c>
      <c r="G403">
        <v>-69.632999999999996</v>
      </c>
      <c r="H403">
        <v>-4</v>
      </c>
      <c r="I403">
        <v>76</v>
      </c>
      <c r="J403" t="str">
        <f>HYPERLINK("https://climate.onebuilding.org/WMO_Region_4_North_and_Central_America/DOM_Dominican_Republic/DOM_MP_Bayaguana.784730_TMYx.2009-2023.zip")</f>
        <v>https://climate.onebuilding.org/WMO_Region_4_North_and_Central_America/DOM_Dominican_Republic/DOM_MP_Bayaguana.784730_TMYx.2009-2023.zip</v>
      </c>
    </row>
    <row r="404" spans="1:10" x14ac:dyDescent="0.25">
      <c r="A404" t="s">
        <v>229</v>
      </c>
      <c r="B404" t="s">
        <v>251</v>
      </c>
      <c r="C404" t="s">
        <v>252</v>
      </c>
      <c r="D404">
        <v>784730</v>
      </c>
      <c r="E404" t="s">
        <v>10</v>
      </c>
      <c r="F404">
        <v>18.75</v>
      </c>
      <c r="G404">
        <v>-69.632999999999996</v>
      </c>
      <c r="H404">
        <v>-4</v>
      </c>
      <c r="I404">
        <v>76</v>
      </c>
      <c r="J404" t="str">
        <f>HYPERLINK("https://climate.onebuilding.org/WMO_Region_4_North_and_Central_America/DOM_Dominican_Republic/DOM_MP_Bayaguana.784730_TMYx.zip")</f>
        <v>https://climate.onebuilding.org/WMO_Region_4_North_and_Central_America/DOM_Dominican_Republic/DOM_MP_Bayaguana.784730_TMYx.zip</v>
      </c>
    </row>
    <row r="405" spans="1:10" x14ac:dyDescent="0.25">
      <c r="A405" t="s">
        <v>229</v>
      </c>
      <c r="B405" t="s">
        <v>253</v>
      </c>
      <c r="C405" t="s">
        <v>254</v>
      </c>
      <c r="D405">
        <v>784780</v>
      </c>
      <c r="E405" t="s">
        <v>18</v>
      </c>
      <c r="F405">
        <v>18.617000000000001</v>
      </c>
      <c r="G405">
        <v>-69.316999999999993</v>
      </c>
      <c r="H405">
        <v>-4</v>
      </c>
      <c r="I405">
        <v>2</v>
      </c>
      <c r="J405" t="str">
        <f>HYPERLINK("https://climate.onebuilding.org/WMO_Region_4_North_and_Central_America/DOM_Dominican_Republic/DOM_NC_Cabo.Engano.784780_TMYx.2007-2021.zip")</f>
        <v>https://climate.onebuilding.org/WMO_Region_4_North_and_Central_America/DOM_Dominican_Republic/DOM_NC_Cabo.Engano.784780_TMYx.2007-2021.zip</v>
      </c>
    </row>
    <row r="406" spans="1:10" x14ac:dyDescent="0.25">
      <c r="A406" t="s">
        <v>229</v>
      </c>
      <c r="B406" t="s">
        <v>253</v>
      </c>
      <c r="C406" t="s">
        <v>254</v>
      </c>
      <c r="D406">
        <v>784780</v>
      </c>
      <c r="E406" t="s">
        <v>18</v>
      </c>
      <c r="F406">
        <v>18.617000000000001</v>
      </c>
      <c r="G406">
        <v>-69.316999999999993</v>
      </c>
      <c r="H406">
        <v>-4</v>
      </c>
      <c r="I406">
        <v>2</v>
      </c>
      <c r="J406" t="str">
        <f>HYPERLINK("https://climate.onebuilding.org/WMO_Region_4_North_and_Central_America/DOM_Dominican_Republic/DOM_NC_Cabo.Engano.784780_TMYx.2009-2023.zip")</f>
        <v>https://climate.onebuilding.org/WMO_Region_4_North_and_Central_America/DOM_Dominican_Republic/DOM_NC_Cabo.Engano.784780_TMYx.2009-2023.zip</v>
      </c>
    </row>
    <row r="407" spans="1:10" x14ac:dyDescent="0.25">
      <c r="A407" t="s">
        <v>229</v>
      </c>
      <c r="B407" t="s">
        <v>253</v>
      </c>
      <c r="C407" t="s">
        <v>254</v>
      </c>
      <c r="D407">
        <v>784780</v>
      </c>
      <c r="E407" t="s">
        <v>18</v>
      </c>
      <c r="F407">
        <v>18.617000000000001</v>
      </c>
      <c r="G407">
        <v>-69.316999999999993</v>
      </c>
      <c r="H407">
        <v>-4</v>
      </c>
      <c r="I407">
        <v>2</v>
      </c>
      <c r="J407" t="str">
        <f>HYPERLINK("https://climate.onebuilding.org/WMO_Region_4_North_and_Central_America/DOM_Dominican_Republic/DOM_NC_Cabo.Engano.784780_TMYx.zip")</f>
        <v>https://climate.onebuilding.org/WMO_Region_4_North_and_Central_America/DOM_Dominican_Republic/DOM_NC_Cabo.Engano.784780_TMYx.zip</v>
      </c>
    </row>
    <row r="408" spans="1:10" x14ac:dyDescent="0.25">
      <c r="A408" t="s">
        <v>229</v>
      </c>
      <c r="B408" t="s">
        <v>109</v>
      </c>
      <c r="C408" t="s">
        <v>255</v>
      </c>
      <c r="D408">
        <v>784790</v>
      </c>
      <c r="E408" t="s">
        <v>256</v>
      </c>
      <c r="F408">
        <v>18.567</v>
      </c>
      <c r="G408">
        <v>-68.363</v>
      </c>
      <c r="H408">
        <v>-4</v>
      </c>
      <c r="I408">
        <v>14.3</v>
      </c>
      <c r="J408" t="str">
        <f>HYPERLINK("https://climate.onebuilding.org/WMO_Region_4_North_and_Central_America/DOM_Dominican_Republic/DOM_AL_Punta.Cana.Intl.AP.784790_TMYx.2004-2018.zip")</f>
        <v>https://climate.onebuilding.org/WMO_Region_4_North_and_Central_America/DOM_Dominican_Republic/DOM_AL_Punta.Cana.Intl.AP.784790_TMYx.2004-2018.zip</v>
      </c>
    </row>
    <row r="409" spans="1:10" x14ac:dyDescent="0.25">
      <c r="A409" t="s">
        <v>229</v>
      </c>
      <c r="B409" t="s">
        <v>109</v>
      </c>
      <c r="C409" t="s">
        <v>255</v>
      </c>
      <c r="D409">
        <v>784790</v>
      </c>
      <c r="E409" t="s">
        <v>10</v>
      </c>
      <c r="F409">
        <v>18.567</v>
      </c>
      <c r="G409">
        <v>-68.363</v>
      </c>
      <c r="H409">
        <v>-4</v>
      </c>
      <c r="I409">
        <v>14.3</v>
      </c>
      <c r="J409" t="str">
        <f>HYPERLINK("https://climate.onebuilding.org/WMO_Region_4_North_and_Central_America/DOM_Dominican_Republic/DOM_AL_Punta.Cana.Intl.AP.784790_TMYx.2007-2021.zip")</f>
        <v>https://climate.onebuilding.org/WMO_Region_4_North_and_Central_America/DOM_Dominican_Republic/DOM_AL_Punta.Cana.Intl.AP.784790_TMYx.2007-2021.zip</v>
      </c>
    </row>
    <row r="410" spans="1:10" x14ac:dyDescent="0.25">
      <c r="A410" t="s">
        <v>229</v>
      </c>
      <c r="B410" t="s">
        <v>109</v>
      </c>
      <c r="C410" t="s">
        <v>255</v>
      </c>
      <c r="D410">
        <v>784790</v>
      </c>
      <c r="E410" t="s">
        <v>10</v>
      </c>
      <c r="F410">
        <v>18.567</v>
      </c>
      <c r="G410">
        <v>-68.363</v>
      </c>
      <c r="H410">
        <v>-4</v>
      </c>
      <c r="I410">
        <v>14.3</v>
      </c>
      <c r="J410" t="str">
        <f>HYPERLINK("https://climate.onebuilding.org/WMO_Region_4_North_and_Central_America/DOM_Dominican_Republic/DOM_AL_Punta.Cana.Intl.AP.784790_TMYx.2009-2023.zip")</f>
        <v>https://climate.onebuilding.org/WMO_Region_4_North_and_Central_America/DOM_Dominican_Republic/DOM_AL_Punta.Cana.Intl.AP.784790_TMYx.2009-2023.zip</v>
      </c>
    </row>
    <row r="411" spans="1:10" x14ac:dyDescent="0.25">
      <c r="A411" t="s">
        <v>229</v>
      </c>
      <c r="B411" t="s">
        <v>109</v>
      </c>
      <c r="C411" t="s">
        <v>255</v>
      </c>
      <c r="D411">
        <v>784790</v>
      </c>
      <c r="E411" t="s">
        <v>10</v>
      </c>
      <c r="F411">
        <v>18.567</v>
      </c>
      <c r="G411">
        <v>-68.363</v>
      </c>
      <c r="H411">
        <v>-4</v>
      </c>
      <c r="I411">
        <v>14.3</v>
      </c>
      <c r="J411" t="str">
        <f>HYPERLINK("https://climate.onebuilding.org/WMO_Region_4_North_and_Central_America/DOM_Dominican_Republic/DOM_AL_Punta.Cana.Intl.AP.784790_TMYx.zip")</f>
        <v>https://climate.onebuilding.org/WMO_Region_4_North_and_Central_America/DOM_Dominican_Republic/DOM_AL_Punta.Cana.Intl.AP.784790_TMYx.zip</v>
      </c>
    </row>
    <row r="412" spans="1:10" x14ac:dyDescent="0.25">
      <c r="A412" t="s">
        <v>229</v>
      </c>
      <c r="B412" t="s">
        <v>72</v>
      </c>
      <c r="C412" t="s">
        <v>257</v>
      </c>
      <c r="D412">
        <v>784800</v>
      </c>
      <c r="E412" t="s">
        <v>10</v>
      </c>
      <c r="F412">
        <v>18.332999999999998</v>
      </c>
      <c r="G412">
        <v>-71.849999999999994</v>
      </c>
      <c r="H412">
        <v>-4</v>
      </c>
      <c r="I412">
        <v>56</v>
      </c>
      <c r="J412" t="str">
        <f>HYPERLINK("https://climate.onebuilding.org/WMO_Region_4_North_and_Central_America/DOM_Dominican_Republic/DOM_IN_Jimani.784800_TMYx.2007-2021.zip")</f>
        <v>https://climate.onebuilding.org/WMO_Region_4_North_and_Central_America/DOM_Dominican_Republic/DOM_IN_Jimani.784800_TMYx.2007-2021.zip</v>
      </c>
    </row>
    <row r="413" spans="1:10" x14ac:dyDescent="0.25">
      <c r="A413" t="s">
        <v>229</v>
      </c>
      <c r="B413" t="s">
        <v>72</v>
      </c>
      <c r="C413" t="s">
        <v>257</v>
      </c>
      <c r="D413">
        <v>784800</v>
      </c>
      <c r="E413" t="s">
        <v>10</v>
      </c>
      <c r="F413">
        <v>18.332999999999998</v>
      </c>
      <c r="G413">
        <v>-71.849999999999994</v>
      </c>
      <c r="H413">
        <v>-4</v>
      </c>
      <c r="I413">
        <v>56</v>
      </c>
      <c r="J413" t="str">
        <f>HYPERLINK("https://climate.onebuilding.org/WMO_Region_4_North_and_Central_America/DOM_Dominican_Republic/DOM_IN_Jimani.784800_TMYx.2009-2023.zip")</f>
        <v>https://climate.onebuilding.org/WMO_Region_4_North_and_Central_America/DOM_Dominican_Republic/DOM_IN_Jimani.784800_TMYx.2009-2023.zip</v>
      </c>
    </row>
    <row r="414" spans="1:10" x14ac:dyDescent="0.25">
      <c r="A414" t="s">
        <v>229</v>
      </c>
      <c r="B414" t="s">
        <v>72</v>
      </c>
      <c r="C414" t="s">
        <v>257</v>
      </c>
      <c r="D414">
        <v>784800</v>
      </c>
      <c r="E414" t="s">
        <v>10</v>
      </c>
      <c r="F414">
        <v>18.332999999999998</v>
      </c>
      <c r="G414">
        <v>-71.849999999999994</v>
      </c>
      <c r="H414">
        <v>-4</v>
      </c>
      <c r="I414">
        <v>56</v>
      </c>
      <c r="J414" t="str">
        <f>HYPERLINK("https://climate.onebuilding.org/WMO_Region_4_North_and_Central_America/DOM_Dominican_Republic/DOM_IN_Jimani.784800_TMYx.zip")</f>
        <v>https://climate.onebuilding.org/WMO_Region_4_North_and_Central_America/DOM_Dominican_Republic/DOM_IN_Jimani.784800_TMYx.zip</v>
      </c>
    </row>
    <row r="415" spans="1:10" x14ac:dyDescent="0.25">
      <c r="A415" t="s">
        <v>229</v>
      </c>
      <c r="B415" t="s">
        <v>258</v>
      </c>
      <c r="C415" t="s">
        <v>259</v>
      </c>
      <c r="D415">
        <v>784820</v>
      </c>
      <c r="E415" t="s">
        <v>260</v>
      </c>
      <c r="F415">
        <v>18.251000000000001</v>
      </c>
      <c r="G415">
        <v>-71.12</v>
      </c>
      <c r="H415">
        <v>-4</v>
      </c>
      <c r="I415">
        <v>3</v>
      </c>
      <c r="J415" t="str">
        <f>HYPERLINK("https://climate.onebuilding.org/WMO_Region_4_North_and_Central_America/DOM_Dominican_Republic/DOM_BH_Barahona-Montez.Intl.AP.784820_TMYx.2004-2018.zip")</f>
        <v>https://climate.onebuilding.org/WMO_Region_4_North_and_Central_America/DOM_Dominican_Republic/DOM_BH_Barahona-Montez.Intl.AP.784820_TMYx.2004-2018.zip</v>
      </c>
    </row>
    <row r="416" spans="1:10" x14ac:dyDescent="0.25">
      <c r="A416" t="s">
        <v>229</v>
      </c>
      <c r="B416" t="s">
        <v>258</v>
      </c>
      <c r="C416" t="s">
        <v>259</v>
      </c>
      <c r="D416">
        <v>784820</v>
      </c>
      <c r="E416" t="s">
        <v>10</v>
      </c>
      <c r="F416">
        <v>18.251000000000001</v>
      </c>
      <c r="G416">
        <v>-71.12</v>
      </c>
      <c r="H416">
        <v>-4</v>
      </c>
      <c r="I416">
        <v>3</v>
      </c>
      <c r="J416" t="str">
        <f>HYPERLINK("https://climate.onebuilding.org/WMO_Region_4_North_and_Central_America/DOM_Dominican_Republic/DOM_BH_Barahona-Montez.Intl.AP.784820_TMYx.2007-2021.zip")</f>
        <v>https://climate.onebuilding.org/WMO_Region_4_North_and_Central_America/DOM_Dominican_Republic/DOM_BH_Barahona-Montez.Intl.AP.784820_TMYx.2007-2021.zip</v>
      </c>
    </row>
    <row r="417" spans="1:10" x14ac:dyDescent="0.25">
      <c r="A417" t="s">
        <v>229</v>
      </c>
      <c r="B417" t="s">
        <v>258</v>
      </c>
      <c r="C417" t="s">
        <v>259</v>
      </c>
      <c r="D417">
        <v>784820</v>
      </c>
      <c r="E417" t="s">
        <v>10</v>
      </c>
      <c r="F417">
        <v>18.251000000000001</v>
      </c>
      <c r="G417">
        <v>-71.12</v>
      </c>
      <c r="H417">
        <v>-4</v>
      </c>
      <c r="I417">
        <v>3</v>
      </c>
      <c r="J417" t="str">
        <f>HYPERLINK("https://climate.onebuilding.org/WMO_Region_4_North_and_Central_America/DOM_Dominican_Republic/DOM_BH_Barahona-Montez.Intl.AP.784820_TMYx.2009-2023.zip")</f>
        <v>https://climate.onebuilding.org/WMO_Region_4_North_and_Central_America/DOM_Dominican_Republic/DOM_BH_Barahona-Montez.Intl.AP.784820_TMYx.2009-2023.zip</v>
      </c>
    </row>
    <row r="418" spans="1:10" x14ac:dyDescent="0.25">
      <c r="A418" t="s">
        <v>229</v>
      </c>
      <c r="B418" t="s">
        <v>258</v>
      </c>
      <c r="C418" t="s">
        <v>259</v>
      </c>
      <c r="D418">
        <v>784820</v>
      </c>
      <c r="E418" t="s">
        <v>10</v>
      </c>
      <c r="F418">
        <v>18.251000000000001</v>
      </c>
      <c r="G418">
        <v>-71.12</v>
      </c>
      <c r="H418">
        <v>-4</v>
      </c>
      <c r="I418">
        <v>3</v>
      </c>
      <c r="J418" t="str">
        <f>HYPERLINK("https://climate.onebuilding.org/WMO_Region_4_North_and_Central_America/DOM_Dominican_Republic/DOM_BH_Barahona-Montez.Intl.AP.784820_TMYx.zip")</f>
        <v>https://climate.onebuilding.org/WMO_Region_4_North_and_Central_America/DOM_Dominican_Republic/DOM_BH_Barahona-Montez.Intl.AP.784820_TMYx.zip</v>
      </c>
    </row>
    <row r="419" spans="1:10" x14ac:dyDescent="0.25">
      <c r="A419" t="s">
        <v>229</v>
      </c>
      <c r="B419" t="s">
        <v>253</v>
      </c>
      <c r="C419" t="s">
        <v>261</v>
      </c>
      <c r="D419">
        <v>784840</v>
      </c>
      <c r="E419" t="s">
        <v>10</v>
      </c>
      <c r="F419">
        <v>18.466699999999999</v>
      </c>
      <c r="G419">
        <v>-69.966700000000003</v>
      </c>
      <c r="H419">
        <v>-4</v>
      </c>
      <c r="I419">
        <v>60.4</v>
      </c>
      <c r="J419" t="str">
        <f>HYPERLINK("https://climate.onebuilding.org/WMO_Region_4_North_and_Central_America/DOM_Dominican_Republic/DOM_NC_San.Geronimo.784840_TMYx.2007-2021.zip")</f>
        <v>https://climate.onebuilding.org/WMO_Region_4_North_and_Central_America/DOM_Dominican_Republic/DOM_NC_San.Geronimo.784840_TMYx.2007-2021.zip</v>
      </c>
    </row>
    <row r="420" spans="1:10" x14ac:dyDescent="0.25">
      <c r="A420" t="s">
        <v>229</v>
      </c>
      <c r="B420" t="s">
        <v>253</v>
      </c>
      <c r="C420" t="s">
        <v>261</v>
      </c>
      <c r="D420">
        <v>784840</v>
      </c>
      <c r="E420" t="s">
        <v>10</v>
      </c>
      <c r="F420">
        <v>18.466699999999999</v>
      </c>
      <c r="G420">
        <v>-69.966700000000003</v>
      </c>
      <c r="H420">
        <v>-4</v>
      </c>
      <c r="I420">
        <v>60.4</v>
      </c>
      <c r="J420" t="str">
        <f>HYPERLINK("https://climate.onebuilding.org/WMO_Region_4_North_and_Central_America/DOM_Dominican_Republic/DOM_NC_San.Geronimo.784840_TMYx.2009-2023.zip")</f>
        <v>https://climate.onebuilding.org/WMO_Region_4_North_and_Central_America/DOM_Dominican_Republic/DOM_NC_San.Geronimo.784840_TMYx.2009-2023.zip</v>
      </c>
    </row>
    <row r="421" spans="1:10" x14ac:dyDescent="0.25">
      <c r="A421" t="s">
        <v>229</v>
      </c>
      <c r="B421" t="s">
        <v>253</v>
      </c>
      <c r="C421" t="s">
        <v>261</v>
      </c>
      <c r="D421">
        <v>784840</v>
      </c>
      <c r="E421" t="s">
        <v>10</v>
      </c>
      <c r="F421">
        <v>18.466699999999999</v>
      </c>
      <c r="G421">
        <v>-69.966700000000003</v>
      </c>
      <c r="H421">
        <v>-4</v>
      </c>
      <c r="I421">
        <v>60.4</v>
      </c>
      <c r="J421" t="str">
        <f>HYPERLINK("https://climate.onebuilding.org/WMO_Region_4_North_and_Central_America/DOM_Dominican_Republic/DOM_NC_San.Geronimo.784840_TMYx.zip")</f>
        <v>https://climate.onebuilding.org/WMO_Region_4_North_and_Central_America/DOM_Dominican_Republic/DOM_NC_San.Geronimo.784840_TMYx.zip</v>
      </c>
    </row>
    <row r="422" spans="1:10" x14ac:dyDescent="0.25">
      <c r="A422" t="s">
        <v>229</v>
      </c>
      <c r="B422" t="s">
        <v>262</v>
      </c>
      <c r="C422" t="s">
        <v>263</v>
      </c>
      <c r="D422">
        <v>784850</v>
      </c>
      <c r="E422" t="s">
        <v>264</v>
      </c>
      <c r="F422">
        <v>18.433299999999999</v>
      </c>
      <c r="G422">
        <v>-69.666700000000006</v>
      </c>
      <c r="H422">
        <v>-4</v>
      </c>
      <c r="I422">
        <v>18</v>
      </c>
      <c r="J422" t="str">
        <f>HYPERLINK("https://climate.onebuilding.org/WMO_Region_4_North_and_Central_America/DOM_Dominican_Republic/DOM_SD_Las.Americas.Intl.AP.784850_TMYx.2004-2018.zip")</f>
        <v>https://climate.onebuilding.org/WMO_Region_4_North_and_Central_America/DOM_Dominican_Republic/DOM_SD_Las.Americas.Intl.AP.784850_TMYx.2004-2018.zip</v>
      </c>
    </row>
    <row r="423" spans="1:10" x14ac:dyDescent="0.25">
      <c r="A423" t="s">
        <v>229</v>
      </c>
      <c r="B423" t="s">
        <v>262</v>
      </c>
      <c r="C423" t="s">
        <v>263</v>
      </c>
      <c r="D423">
        <v>784850</v>
      </c>
      <c r="E423" t="s">
        <v>10</v>
      </c>
      <c r="F423">
        <v>18.43</v>
      </c>
      <c r="G423">
        <v>-69.668999999999997</v>
      </c>
      <c r="H423">
        <v>-4</v>
      </c>
      <c r="I423">
        <v>18</v>
      </c>
      <c r="J423" t="str">
        <f>HYPERLINK("https://climate.onebuilding.org/WMO_Region_4_North_and_Central_America/DOM_Dominican_Republic/DOM_SD_Las.Americas.Intl.AP.784850_TMYx.2007-2021.zip")</f>
        <v>https://climate.onebuilding.org/WMO_Region_4_North_and_Central_America/DOM_Dominican_Republic/DOM_SD_Las.Americas.Intl.AP.784850_TMYx.2007-2021.zip</v>
      </c>
    </row>
    <row r="424" spans="1:10" x14ac:dyDescent="0.25">
      <c r="A424" t="s">
        <v>229</v>
      </c>
      <c r="B424" t="s">
        <v>262</v>
      </c>
      <c r="C424" t="s">
        <v>263</v>
      </c>
      <c r="D424">
        <v>784850</v>
      </c>
      <c r="E424" t="s">
        <v>10</v>
      </c>
      <c r="F424">
        <v>18.43</v>
      </c>
      <c r="G424">
        <v>-69.668999999999997</v>
      </c>
      <c r="H424">
        <v>-4</v>
      </c>
      <c r="I424">
        <v>18</v>
      </c>
      <c r="J424" t="str">
        <f>HYPERLINK("https://climate.onebuilding.org/WMO_Region_4_North_and_Central_America/DOM_Dominican_Republic/DOM_SD_Las.Americas.Intl.AP.784850_TMYx.2009-2023.zip")</f>
        <v>https://climate.onebuilding.org/WMO_Region_4_North_and_Central_America/DOM_Dominican_Republic/DOM_SD_Las.Americas.Intl.AP.784850_TMYx.2009-2023.zip</v>
      </c>
    </row>
    <row r="425" spans="1:10" x14ac:dyDescent="0.25">
      <c r="A425" t="s">
        <v>229</v>
      </c>
      <c r="B425" t="s">
        <v>262</v>
      </c>
      <c r="C425" t="s">
        <v>263</v>
      </c>
      <c r="D425">
        <v>784850</v>
      </c>
      <c r="E425" t="s">
        <v>10</v>
      </c>
      <c r="F425">
        <v>18.43</v>
      </c>
      <c r="G425">
        <v>-69.668999999999997</v>
      </c>
      <c r="H425">
        <v>-4</v>
      </c>
      <c r="I425">
        <v>18</v>
      </c>
      <c r="J425" t="str">
        <f>HYPERLINK("https://climate.onebuilding.org/WMO_Region_4_North_and_Central_America/DOM_Dominican_Republic/DOM_SD_Las.Americas.Intl.AP.784850_TMYx.zip")</f>
        <v>https://climate.onebuilding.org/WMO_Region_4_North_and_Central_America/DOM_Dominican_Republic/DOM_SD_Las.Americas.Intl.AP.784850_TMYx.zip</v>
      </c>
    </row>
    <row r="426" spans="1:10" x14ac:dyDescent="0.25">
      <c r="A426" t="s">
        <v>229</v>
      </c>
      <c r="B426" t="s">
        <v>253</v>
      </c>
      <c r="C426" t="s">
        <v>265</v>
      </c>
      <c r="D426">
        <v>784860</v>
      </c>
      <c r="E426" t="s">
        <v>266</v>
      </c>
      <c r="F426">
        <v>18.472000000000001</v>
      </c>
      <c r="G426">
        <v>-69.8904</v>
      </c>
      <c r="H426">
        <v>-4</v>
      </c>
      <c r="I426">
        <v>14</v>
      </c>
      <c r="J426" t="str">
        <f>HYPERLINK("https://climate.onebuilding.org/WMO_Region_4_North_and_Central_America/DOM_Dominican_Republic/DOM_NC_Santo.Domingo.784860_TMYx.2004-2018.zip")</f>
        <v>https://climate.onebuilding.org/WMO_Region_4_North_and_Central_America/DOM_Dominican_Republic/DOM_NC_Santo.Domingo.784860_TMYx.2004-2018.zip</v>
      </c>
    </row>
    <row r="427" spans="1:10" x14ac:dyDescent="0.25">
      <c r="A427" t="s">
        <v>229</v>
      </c>
      <c r="B427" t="s">
        <v>253</v>
      </c>
      <c r="C427" t="s">
        <v>265</v>
      </c>
      <c r="D427">
        <v>784860</v>
      </c>
      <c r="E427" t="s">
        <v>10</v>
      </c>
      <c r="F427">
        <v>18.473400000000002</v>
      </c>
      <c r="G427">
        <v>-69.870500000000007</v>
      </c>
      <c r="H427">
        <v>-4</v>
      </c>
      <c r="I427">
        <v>14</v>
      </c>
      <c r="J427" t="str">
        <f>HYPERLINK("https://climate.onebuilding.org/WMO_Region_4_North_and_Central_America/DOM_Dominican_Republic/DOM_NC_Santo.Domingo.784860_TMYx.2007-2021.zip")</f>
        <v>https://climate.onebuilding.org/WMO_Region_4_North_and_Central_America/DOM_Dominican_Republic/DOM_NC_Santo.Domingo.784860_TMYx.2007-2021.zip</v>
      </c>
    </row>
    <row r="428" spans="1:10" x14ac:dyDescent="0.25">
      <c r="A428" t="s">
        <v>229</v>
      </c>
      <c r="B428" t="s">
        <v>253</v>
      </c>
      <c r="C428" t="s">
        <v>265</v>
      </c>
      <c r="D428">
        <v>784860</v>
      </c>
      <c r="E428" t="s">
        <v>10</v>
      </c>
      <c r="F428">
        <v>18.473400000000002</v>
      </c>
      <c r="G428">
        <v>-69.870500000000007</v>
      </c>
      <c r="H428">
        <v>-4</v>
      </c>
      <c r="I428">
        <v>14</v>
      </c>
      <c r="J428" t="str">
        <f>HYPERLINK("https://climate.onebuilding.org/WMO_Region_4_North_and_Central_America/DOM_Dominican_Republic/DOM_NC_Santo.Domingo.784860_TMYx.2009-2023.zip")</f>
        <v>https://climate.onebuilding.org/WMO_Region_4_North_and_Central_America/DOM_Dominican_Republic/DOM_NC_Santo.Domingo.784860_TMYx.2009-2023.zip</v>
      </c>
    </row>
    <row r="429" spans="1:10" x14ac:dyDescent="0.25">
      <c r="A429" t="s">
        <v>229</v>
      </c>
      <c r="B429" t="s">
        <v>253</v>
      </c>
      <c r="C429" t="s">
        <v>265</v>
      </c>
      <c r="D429">
        <v>784860</v>
      </c>
      <c r="E429" t="s">
        <v>10</v>
      </c>
      <c r="F429">
        <v>18.473400000000002</v>
      </c>
      <c r="G429">
        <v>-69.870500000000007</v>
      </c>
      <c r="H429">
        <v>-4</v>
      </c>
      <c r="I429">
        <v>14</v>
      </c>
      <c r="J429" t="str">
        <f>HYPERLINK("https://climate.onebuilding.org/WMO_Region_4_North_and_Central_America/DOM_Dominican_Republic/DOM_NC_Santo.Domingo.784860_TMYx.zip")</f>
        <v>https://climate.onebuilding.org/WMO_Region_4_North_and_Central_America/DOM_Dominican_Republic/DOM_NC_Santo.Domingo.784860_TMYx.zip</v>
      </c>
    </row>
    <row r="430" spans="1:10" x14ac:dyDescent="0.25">
      <c r="A430" t="s">
        <v>229</v>
      </c>
      <c r="B430" t="s">
        <v>262</v>
      </c>
      <c r="C430" t="s">
        <v>267</v>
      </c>
      <c r="D430">
        <v>784865</v>
      </c>
      <c r="E430" t="s">
        <v>268</v>
      </c>
      <c r="F430">
        <v>18.573</v>
      </c>
      <c r="G430">
        <v>-69.986000000000004</v>
      </c>
      <c r="H430">
        <v>-4</v>
      </c>
      <c r="I430">
        <v>29.9</v>
      </c>
      <c r="J430" t="str">
        <f>HYPERLINK("https://climate.onebuilding.org/WMO_Region_4_North_and_Central_America/DOM_Dominican_Republic/DOM_SD_La.Isabela.Intl.AP.784865_TMYx.2004-2018.zip")</f>
        <v>https://climate.onebuilding.org/WMO_Region_4_North_and_Central_America/DOM_Dominican_Republic/DOM_SD_La.Isabela.Intl.AP.784865_TMYx.2004-2018.zip</v>
      </c>
    </row>
    <row r="431" spans="1:10" x14ac:dyDescent="0.25">
      <c r="A431" t="s">
        <v>229</v>
      </c>
      <c r="B431" t="s">
        <v>262</v>
      </c>
      <c r="C431" t="s">
        <v>267</v>
      </c>
      <c r="D431">
        <v>784865</v>
      </c>
      <c r="E431" t="s">
        <v>10</v>
      </c>
      <c r="F431">
        <v>18.573</v>
      </c>
      <c r="G431">
        <v>-69.986000000000004</v>
      </c>
      <c r="H431">
        <v>-4</v>
      </c>
      <c r="I431">
        <v>29.9</v>
      </c>
      <c r="J431" t="str">
        <f>HYPERLINK("https://climate.onebuilding.org/WMO_Region_4_North_and_Central_America/DOM_Dominican_Republic/DOM_SD_La.Isabela.Intl.AP.784865_TMYx.2007-2021.zip")</f>
        <v>https://climate.onebuilding.org/WMO_Region_4_North_and_Central_America/DOM_Dominican_Republic/DOM_SD_La.Isabela.Intl.AP.784865_TMYx.2007-2021.zip</v>
      </c>
    </row>
    <row r="432" spans="1:10" x14ac:dyDescent="0.25">
      <c r="A432" t="s">
        <v>229</v>
      </c>
      <c r="B432" t="s">
        <v>262</v>
      </c>
      <c r="C432" t="s">
        <v>267</v>
      </c>
      <c r="D432">
        <v>784865</v>
      </c>
      <c r="E432" t="s">
        <v>10</v>
      </c>
      <c r="F432">
        <v>18.573</v>
      </c>
      <c r="G432">
        <v>-69.986000000000004</v>
      </c>
      <c r="H432">
        <v>-4</v>
      </c>
      <c r="I432">
        <v>29.9</v>
      </c>
      <c r="J432" t="str">
        <f>HYPERLINK("https://climate.onebuilding.org/WMO_Region_4_North_and_Central_America/DOM_Dominican_Republic/DOM_SD_La.Isabela.Intl.AP.784865_TMYx.2009-2023.zip")</f>
        <v>https://climate.onebuilding.org/WMO_Region_4_North_and_Central_America/DOM_Dominican_Republic/DOM_SD_La.Isabela.Intl.AP.784865_TMYx.2009-2023.zip</v>
      </c>
    </row>
    <row r="433" spans="1:10" x14ac:dyDescent="0.25">
      <c r="A433" t="s">
        <v>229</v>
      </c>
      <c r="B433" t="s">
        <v>262</v>
      </c>
      <c r="C433" t="s">
        <v>267</v>
      </c>
      <c r="D433">
        <v>784865</v>
      </c>
      <c r="E433" t="s">
        <v>10</v>
      </c>
      <c r="F433">
        <v>18.573</v>
      </c>
      <c r="G433">
        <v>-69.986000000000004</v>
      </c>
      <c r="H433">
        <v>-4</v>
      </c>
      <c r="I433">
        <v>29.9</v>
      </c>
      <c r="J433" t="str">
        <f>HYPERLINK("https://climate.onebuilding.org/WMO_Region_4_North_and_Central_America/DOM_Dominican_Republic/DOM_SD_La.Isabela.Intl.AP.784865_TMYx.zip")</f>
        <v>https://climate.onebuilding.org/WMO_Region_4_North_and_Central_America/DOM_Dominican_Republic/DOM_SD_La.Isabela.Intl.AP.784865_TMYx.zip</v>
      </c>
    </row>
    <row r="434" spans="1:10" x14ac:dyDescent="0.25">
      <c r="A434" t="s">
        <v>229</v>
      </c>
      <c r="B434" t="s">
        <v>269</v>
      </c>
      <c r="C434" t="s">
        <v>270</v>
      </c>
      <c r="D434">
        <v>784880</v>
      </c>
      <c r="E434" t="s">
        <v>271</v>
      </c>
      <c r="F434">
        <v>18.45</v>
      </c>
      <c r="G434">
        <v>-68.92</v>
      </c>
      <c r="H434">
        <v>-4</v>
      </c>
      <c r="I434">
        <v>94</v>
      </c>
      <c r="J434" t="str">
        <f>HYPERLINK("https://climate.onebuilding.org/WMO_Region_4_North_and_Central_America/DOM_Dominican_Republic/DOM_RO_La.Romana-Casa.de.Campo.Intl.AP.784880_TMYx.2004-2018.zip")</f>
        <v>https://climate.onebuilding.org/WMO_Region_4_North_and_Central_America/DOM_Dominican_Republic/DOM_RO_La.Romana-Casa.de.Campo.Intl.AP.784880_TMYx.2004-2018.zip</v>
      </c>
    </row>
    <row r="435" spans="1:10" x14ac:dyDescent="0.25">
      <c r="A435" t="s">
        <v>229</v>
      </c>
      <c r="B435" t="s">
        <v>269</v>
      </c>
      <c r="C435" t="s">
        <v>270</v>
      </c>
      <c r="D435">
        <v>784880</v>
      </c>
      <c r="E435" t="s">
        <v>10</v>
      </c>
      <c r="F435">
        <v>18.45</v>
      </c>
      <c r="G435">
        <v>-68.92</v>
      </c>
      <c r="H435">
        <v>-4</v>
      </c>
      <c r="I435">
        <v>94</v>
      </c>
      <c r="J435" t="str">
        <f>HYPERLINK("https://climate.onebuilding.org/WMO_Region_4_North_and_Central_America/DOM_Dominican_Republic/DOM_RO_La.Romana-Casa.de.Campo.Intl.AP.784880_TMYx.2007-2021.zip")</f>
        <v>https://climate.onebuilding.org/WMO_Region_4_North_and_Central_America/DOM_Dominican_Republic/DOM_RO_La.Romana-Casa.de.Campo.Intl.AP.784880_TMYx.2007-2021.zip</v>
      </c>
    </row>
    <row r="436" spans="1:10" x14ac:dyDescent="0.25">
      <c r="A436" t="s">
        <v>229</v>
      </c>
      <c r="B436" t="s">
        <v>269</v>
      </c>
      <c r="C436" t="s">
        <v>270</v>
      </c>
      <c r="D436">
        <v>784880</v>
      </c>
      <c r="E436" t="s">
        <v>10</v>
      </c>
      <c r="F436">
        <v>18.45</v>
      </c>
      <c r="G436">
        <v>-68.92</v>
      </c>
      <c r="H436">
        <v>-4</v>
      </c>
      <c r="I436">
        <v>94</v>
      </c>
      <c r="J436" t="str">
        <f>HYPERLINK("https://climate.onebuilding.org/WMO_Region_4_North_and_Central_America/DOM_Dominican_Republic/DOM_RO_La.Romana-Casa.de.Campo.Intl.AP.784880_TMYx.2009-2023.zip")</f>
        <v>https://climate.onebuilding.org/WMO_Region_4_North_and_Central_America/DOM_Dominican_Republic/DOM_RO_La.Romana-Casa.de.Campo.Intl.AP.784880_TMYx.2009-2023.zip</v>
      </c>
    </row>
    <row r="437" spans="1:10" x14ac:dyDescent="0.25">
      <c r="A437" t="s">
        <v>229</v>
      </c>
      <c r="B437" t="s">
        <v>269</v>
      </c>
      <c r="C437" t="s">
        <v>270</v>
      </c>
      <c r="D437">
        <v>784880</v>
      </c>
      <c r="E437" t="s">
        <v>10</v>
      </c>
      <c r="F437">
        <v>18.45</v>
      </c>
      <c r="G437">
        <v>-68.92</v>
      </c>
      <c r="H437">
        <v>-4</v>
      </c>
      <c r="I437">
        <v>94</v>
      </c>
      <c r="J437" t="str">
        <f>HYPERLINK("https://climate.onebuilding.org/WMO_Region_4_North_and_Central_America/DOM_Dominican_Republic/DOM_RO_La.Romana-Casa.de.Campo.Intl.AP.784880_TMYx.zip")</f>
        <v>https://climate.onebuilding.org/WMO_Region_4_North_and_Central_America/DOM_Dominican_Republic/DOM_RO_La.Romana-Casa.de.Campo.Intl.AP.784880_TMYx.zip</v>
      </c>
    </row>
    <row r="438" spans="1:10" x14ac:dyDescent="0.25">
      <c r="A438" t="s">
        <v>272</v>
      </c>
      <c r="B438" t="s">
        <v>232</v>
      </c>
      <c r="C438" t="s">
        <v>273</v>
      </c>
      <c r="D438">
        <v>788900</v>
      </c>
      <c r="E438" t="s">
        <v>10</v>
      </c>
      <c r="F438">
        <v>16.332999999999998</v>
      </c>
      <c r="G438">
        <v>-61</v>
      </c>
      <c r="H438">
        <v>-4</v>
      </c>
      <c r="I438">
        <v>33</v>
      </c>
      <c r="J438" t="str">
        <f>HYPERLINK("https://climate.onebuilding.org/WMO_Region_4_North_and_Central_America/GLP_Guadeloupe/GLP_PP_La.Desirade.788900_TMYx.zip")</f>
        <v>https://climate.onebuilding.org/WMO_Region_4_North_and_Central_America/GLP_Guadeloupe/GLP_PP_La.Desirade.788900_TMYx.zip</v>
      </c>
    </row>
    <row r="439" spans="1:10" x14ac:dyDescent="0.25">
      <c r="A439" t="s">
        <v>272</v>
      </c>
      <c r="B439" t="s">
        <v>232</v>
      </c>
      <c r="C439" t="s">
        <v>274</v>
      </c>
      <c r="D439">
        <v>788970</v>
      </c>
      <c r="E439" t="s">
        <v>275</v>
      </c>
      <c r="F439">
        <v>16.265000000000001</v>
      </c>
      <c r="G439">
        <v>-61.531999999999996</v>
      </c>
      <c r="H439">
        <v>-4</v>
      </c>
      <c r="I439">
        <v>11</v>
      </c>
      <c r="J439" t="str">
        <f>HYPERLINK("https://climate.onebuilding.org/WMO_Region_4_North_and_Central_America/GLP_Guadeloupe/GLP_PP_Abymes-Pointe.Pitre.Intl.AP.788970_TMYx.2004-2018.zip")</f>
        <v>https://climate.onebuilding.org/WMO_Region_4_North_and_Central_America/GLP_Guadeloupe/GLP_PP_Abymes-Pointe.Pitre.Intl.AP.788970_TMYx.2004-2018.zip</v>
      </c>
    </row>
    <row r="440" spans="1:10" x14ac:dyDescent="0.25">
      <c r="A440" t="s">
        <v>272</v>
      </c>
      <c r="B440" t="s">
        <v>232</v>
      </c>
      <c r="C440" t="s">
        <v>274</v>
      </c>
      <c r="D440">
        <v>788970</v>
      </c>
      <c r="E440" t="s">
        <v>10</v>
      </c>
      <c r="F440">
        <v>16.2639</v>
      </c>
      <c r="G440">
        <v>-61.516399999999997</v>
      </c>
      <c r="H440">
        <v>-4</v>
      </c>
      <c r="I440">
        <v>11</v>
      </c>
      <c r="J440" t="str">
        <f>HYPERLINK("https://climate.onebuilding.org/WMO_Region_4_North_and_Central_America/GLP_Guadeloupe/GLP_PP_Abymes-Pointe.Pitre.Intl.AP.788970_TMYx.2007-2021.zip")</f>
        <v>https://climate.onebuilding.org/WMO_Region_4_North_and_Central_America/GLP_Guadeloupe/GLP_PP_Abymes-Pointe.Pitre.Intl.AP.788970_TMYx.2007-2021.zip</v>
      </c>
    </row>
    <row r="441" spans="1:10" x14ac:dyDescent="0.25">
      <c r="A441" t="s">
        <v>272</v>
      </c>
      <c r="B441" t="s">
        <v>232</v>
      </c>
      <c r="C441" t="s">
        <v>274</v>
      </c>
      <c r="D441">
        <v>788970</v>
      </c>
      <c r="E441" t="s">
        <v>10</v>
      </c>
      <c r="F441">
        <v>16.2639</v>
      </c>
      <c r="G441">
        <v>-61.516399999999997</v>
      </c>
      <c r="H441">
        <v>-4</v>
      </c>
      <c r="I441">
        <v>11</v>
      </c>
      <c r="J441" t="str">
        <f>HYPERLINK("https://climate.onebuilding.org/WMO_Region_4_North_and_Central_America/GLP_Guadeloupe/GLP_PP_Abymes-Pointe.Pitre.Intl.AP.788970_TMYx.2009-2023.zip")</f>
        <v>https://climate.onebuilding.org/WMO_Region_4_North_and_Central_America/GLP_Guadeloupe/GLP_PP_Abymes-Pointe.Pitre.Intl.AP.788970_TMYx.2009-2023.zip</v>
      </c>
    </row>
    <row r="442" spans="1:10" x14ac:dyDescent="0.25">
      <c r="A442" t="s">
        <v>272</v>
      </c>
      <c r="B442" t="s">
        <v>232</v>
      </c>
      <c r="C442" t="s">
        <v>274</v>
      </c>
      <c r="D442">
        <v>788970</v>
      </c>
      <c r="E442" t="s">
        <v>10</v>
      </c>
      <c r="F442">
        <v>16.2639</v>
      </c>
      <c r="G442">
        <v>-61.516399999999997</v>
      </c>
      <c r="H442">
        <v>-4</v>
      </c>
      <c r="I442">
        <v>11</v>
      </c>
      <c r="J442" t="str">
        <f>HYPERLINK("https://climate.onebuilding.org/WMO_Region_4_North_and_Central_America/GLP_Guadeloupe/GLP_PP_Abymes-Pointe.Pitre.Intl.AP.788970_TMYx.zip")</f>
        <v>https://climate.onebuilding.org/WMO_Region_4_North_and_Central_America/GLP_Guadeloupe/GLP_PP_Abymes-Pointe.Pitre.Intl.AP.788970_TMYx.zip</v>
      </c>
    </row>
    <row r="443" spans="1:10" x14ac:dyDescent="0.25">
      <c r="A443" t="s">
        <v>276</v>
      </c>
      <c r="B443" t="s">
        <v>277</v>
      </c>
      <c r="C443" t="s">
        <v>278</v>
      </c>
      <c r="D443">
        <v>789560</v>
      </c>
      <c r="E443" t="s">
        <v>18</v>
      </c>
      <c r="F443">
        <v>12.15</v>
      </c>
      <c r="G443">
        <v>-61.616999999999997</v>
      </c>
      <c r="H443">
        <v>-4</v>
      </c>
      <c r="I443">
        <v>6</v>
      </c>
      <c r="J443" t="str">
        <f>HYPERLINK("https://climate.onebuilding.org/WMO_Region_4_North_and_Central_America/GRD_Grenada/GRD_AN_Pearls.AP.789560_TMYx.2007-2021.zip")</f>
        <v>https://climate.onebuilding.org/WMO_Region_4_North_and_Central_America/GRD_Grenada/GRD_AN_Pearls.AP.789560_TMYx.2007-2021.zip</v>
      </c>
    </row>
    <row r="444" spans="1:10" x14ac:dyDescent="0.25">
      <c r="A444" t="s">
        <v>276</v>
      </c>
      <c r="B444" t="s">
        <v>277</v>
      </c>
      <c r="C444" t="s">
        <v>278</v>
      </c>
      <c r="D444">
        <v>789560</v>
      </c>
      <c r="E444" t="s">
        <v>18</v>
      </c>
      <c r="F444">
        <v>12.15</v>
      </c>
      <c r="G444">
        <v>-61.616999999999997</v>
      </c>
      <c r="H444">
        <v>-4</v>
      </c>
      <c r="I444">
        <v>6</v>
      </c>
      <c r="J444" t="str">
        <f>HYPERLINK("https://climate.onebuilding.org/WMO_Region_4_North_and_Central_America/GRD_Grenada/GRD_AN_Pearls.AP.789560_TMYx.2009-2023.zip")</f>
        <v>https://climate.onebuilding.org/WMO_Region_4_North_and_Central_America/GRD_Grenada/GRD_AN_Pearls.AP.789560_TMYx.2009-2023.zip</v>
      </c>
    </row>
    <row r="445" spans="1:10" x14ac:dyDescent="0.25">
      <c r="A445" t="s">
        <v>276</v>
      </c>
      <c r="B445" t="s">
        <v>277</v>
      </c>
      <c r="C445" t="s">
        <v>278</v>
      </c>
      <c r="D445">
        <v>789560</v>
      </c>
      <c r="E445" t="s">
        <v>18</v>
      </c>
      <c r="F445">
        <v>12.15</v>
      </c>
      <c r="G445">
        <v>-61.616999999999997</v>
      </c>
      <c r="H445">
        <v>-4</v>
      </c>
      <c r="I445">
        <v>6</v>
      </c>
      <c r="J445" t="str">
        <f>HYPERLINK("https://climate.onebuilding.org/WMO_Region_4_North_and_Central_America/GRD_Grenada/GRD_AN_Pearls.AP.789560_TMYx.zip")</f>
        <v>https://climate.onebuilding.org/WMO_Region_4_North_and_Central_America/GRD_Grenada/GRD_AN_Pearls.AP.789560_TMYx.zip</v>
      </c>
    </row>
    <row r="446" spans="1:10" x14ac:dyDescent="0.25">
      <c r="A446" t="s">
        <v>276</v>
      </c>
      <c r="B446" t="s">
        <v>279</v>
      </c>
      <c r="C446" t="s">
        <v>280</v>
      </c>
      <c r="D446">
        <v>789580</v>
      </c>
      <c r="E446" t="s">
        <v>281</v>
      </c>
      <c r="F446">
        <v>12.004</v>
      </c>
      <c r="G446">
        <v>-61.786000000000001</v>
      </c>
      <c r="H446">
        <v>-4</v>
      </c>
      <c r="I446">
        <v>12.5</v>
      </c>
      <c r="J446" t="str">
        <f>HYPERLINK("https://climate.onebuilding.org/WMO_Region_4_North_and_Central_America/GRD_Grenada/GRD_GE_St.Georges-Bishop.Intl.AP.789580_TMYx.2004-2018.zip")</f>
        <v>https://climate.onebuilding.org/WMO_Region_4_North_and_Central_America/GRD_Grenada/GRD_GE_St.Georges-Bishop.Intl.AP.789580_TMYx.2004-2018.zip</v>
      </c>
    </row>
    <row r="447" spans="1:10" x14ac:dyDescent="0.25">
      <c r="A447" t="s">
        <v>276</v>
      </c>
      <c r="B447" t="s">
        <v>279</v>
      </c>
      <c r="C447" t="s">
        <v>280</v>
      </c>
      <c r="D447">
        <v>789580</v>
      </c>
      <c r="E447" t="s">
        <v>10</v>
      </c>
      <c r="F447">
        <v>12.004</v>
      </c>
      <c r="G447">
        <v>-61.786000000000001</v>
      </c>
      <c r="H447">
        <v>-4</v>
      </c>
      <c r="I447">
        <v>12.5</v>
      </c>
      <c r="J447" t="str">
        <f>HYPERLINK("https://climate.onebuilding.org/WMO_Region_4_North_and_Central_America/GRD_Grenada/GRD_GE_St.Georges-Bishop.Intl.AP.789580_TMYx.2007-2021.zip")</f>
        <v>https://climate.onebuilding.org/WMO_Region_4_North_and_Central_America/GRD_Grenada/GRD_GE_St.Georges-Bishop.Intl.AP.789580_TMYx.2007-2021.zip</v>
      </c>
    </row>
    <row r="448" spans="1:10" x14ac:dyDescent="0.25">
      <c r="A448" t="s">
        <v>276</v>
      </c>
      <c r="B448" t="s">
        <v>279</v>
      </c>
      <c r="C448" t="s">
        <v>280</v>
      </c>
      <c r="D448">
        <v>789580</v>
      </c>
      <c r="E448" t="s">
        <v>10</v>
      </c>
      <c r="F448">
        <v>12.004</v>
      </c>
      <c r="G448">
        <v>-61.786000000000001</v>
      </c>
      <c r="H448">
        <v>-4</v>
      </c>
      <c r="I448">
        <v>12.5</v>
      </c>
      <c r="J448" t="str">
        <f>HYPERLINK("https://climate.onebuilding.org/WMO_Region_4_North_and_Central_America/GRD_Grenada/GRD_GE_St.Georges-Bishop.Intl.AP.789580_TMYx.2009-2023.zip")</f>
        <v>https://climate.onebuilding.org/WMO_Region_4_North_and_Central_America/GRD_Grenada/GRD_GE_St.Georges-Bishop.Intl.AP.789580_TMYx.2009-2023.zip</v>
      </c>
    </row>
    <row r="449" spans="1:10" x14ac:dyDescent="0.25">
      <c r="A449" t="s">
        <v>276</v>
      </c>
      <c r="B449" t="s">
        <v>279</v>
      </c>
      <c r="C449" t="s">
        <v>280</v>
      </c>
      <c r="D449">
        <v>789580</v>
      </c>
      <c r="E449" t="s">
        <v>10</v>
      </c>
      <c r="F449">
        <v>12.004</v>
      </c>
      <c r="G449">
        <v>-61.786000000000001</v>
      </c>
      <c r="H449">
        <v>-4</v>
      </c>
      <c r="I449">
        <v>12.5</v>
      </c>
      <c r="J449" t="str">
        <f>HYPERLINK("https://climate.onebuilding.org/WMO_Region_4_North_and_Central_America/GRD_Grenada/GRD_GE_St.Georges-Bishop.Intl.AP.789580_TMYx.zip")</f>
        <v>https://climate.onebuilding.org/WMO_Region_4_North_and_Central_America/GRD_Grenada/GRD_GE_St.Georges-Bishop.Intl.AP.789580_TMYx.zip</v>
      </c>
    </row>
    <row r="450" spans="1:10" x14ac:dyDescent="0.25">
      <c r="A450" t="s">
        <v>282</v>
      </c>
      <c r="B450" t="s">
        <v>102</v>
      </c>
      <c r="C450" t="s">
        <v>283</v>
      </c>
      <c r="D450">
        <v>786150</v>
      </c>
      <c r="E450" t="s">
        <v>284</v>
      </c>
      <c r="F450">
        <v>16.917000000000002</v>
      </c>
      <c r="G450">
        <v>-89.882999999999996</v>
      </c>
      <c r="H450">
        <v>-6</v>
      </c>
      <c r="I450">
        <v>115</v>
      </c>
      <c r="J450" t="str">
        <f>HYPERLINK("https://climate.onebuilding.org/WMO_Region_4_North_and_Central_America/GTM_Guatemala/GU_Guatemala/GTM_GU_Flores-Muno.Maya.Intl.AP.786150_TMYx.2004-2018.zip")</f>
        <v>https://climate.onebuilding.org/WMO_Region_4_North_and_Central_America/GTM_Guatemala/GU_Guatemala/GTM_GU_Flores-Muno.Maya.Intl.AP.786150_TMYx.2004-2018.zip</v>
      </c>
    </row>
    <row r="451" spans="1:10" x14ac:dyDescent="0.25">
      <c r="A451" t="s">
        <v>282</v>
      </c>
      <c r="B451" t="s">
        <v>102</v>
      </c>
      <c r="C451" t="s">
        <v>283</v>
      </c>
      <c r="D451">
        <v>786150</v>
      </c>
      <c r="E451" t="s">
        <v>10</v>
      </c>
      <c r="F451">
        <v>16.917000000000002</v>
      </c>
      <c r="G451">
        <v>-89.882999999999996</v>
      </c>
      <c r="H451">
        <v>-6</v>
      </c>
      <c r="I451">
        <v>115</v>
      </c>
      <c r="J451" t="str">
        <f>HYPERLINK("https://climate.onebuilding.org/WMO_Region_4_North_and_Central_America/GTM_Guatemala/GU_Guatemala/GTM_GU_Flores-Muno.Maya.Intl.AP.786150_TMYx.2007-2021.zip")</f>
        <v>https://climate.onebuilding.org/WMO_Region_4_North_and_Central_America/GTM_Guatemala/GU_Guatemala/GTM_GU_Flores-Muno.Maya.Intl.AP.786150_TMYx.2007-2021.zip</v>
      </c>
    </row>
    <row r="452" spans="1:10" x14ac:dyDescent="0.25">
      <c r="A452" t="s">
        <v>282</v>
      </c>
      <c r="B452" t="s">
        <v>102</v>
      </c>
      <c r="C452" t="s">
        <v>283</v>
      </c>
      <c r="D452">
        <v>786150</v>
      </c>
      <c r="E452" t="s">
        <v>10</v>
      </c>
      <c r="F452">
        <v>16.917000000000002</v>
      </c>
      <c r="G452">
        <v>-89.882999999999996</v>
      </c>
      <c r="H452">
        <v>-6</v>
      </c>
      <c r="I452">
        <v>115</v>
      </c>
      <c r="J452" t="str">
        <f>HYPERLINK("https://climate.onebuilding.org/WMO_Region_4_North_and_Central_America/GTM_Guatemala/GU_Guatemala/GTM_GU_Flores-Muno.Maya.Intl.AP.786150_TMYx.2009-2023.zip")</f>
        <v>https://climate.onebuilding.org/WMO_Region_4_North_and_Central_America/GTM_Guatemala/GU_Guatemala/GTM_GU_Flores-Muno.Maya.Intl.AP.786150_TMYx.2009-2023.zip</v>
      </c>
    </row>
    <row r="453" spans="1:10" x14ac:dyDescent="0.25">
      <c r="A453" t="s">
        <v>282</v>
      </c>
      <c r="B453" t="s">
        <v>102</v>
      </c>
      <c r="C453" t="s">
        <v>283</v>
      </c>
      <c r="D453">
        <v>786150</v>
      </c>
      <c r="E453" t="s">
        <v>10</v>
      </c>
      <c r="F453">
        <v>16.917000000000002</v>
      </c>
      <c r="G453">
        <v>-89.882999999999996</v>
      </c>
      <c r="H453">
        <v>-6</v>
      </c>
      <c r="I453">
        <v>115</v>
      </c>
      <c r="J453" t="str">
        <f>HYPERLINK("https://climate.onebuilding.org/WMO_Region_4_North_and_Central_America/GTM_Guatemala/GU_Guatemala/GTM_GU_Flores-Muno.Maya.Intl.AP.786150_TMYx.zip")</f>
        <v>https://climate.onebuilding.org/WMO_Region_4_North_and_Central_America/GTM_Guatemala/GU_Guatemala/GTM_GU_Flores-Muno.Maya.Intl.AP.786150_TMYx.zip</v>
      </c>
    </row>
    <row r="454" spans="1:10" x14ac:dyDescent="0.25">
      <c r="A454" t="s">
        <v>282</v>
      </c>
      <c r="B454" t="s">
        <v>285</v>
      </c>
      <c r="C454" t="s">
        <v>286</v>
      </c>
      <c r="D454">
        <v>786250</v>
      </c>
      <c r="E454" t="s">
        <v>18</v>
      </c>
      <c r="F454">
        <v>16.317</v>
      </c>
      <c r="G454">
        <v>-89.417000000000002</v>
      </c>
      <c r="H454">
        <v>-6</v>
      </c>
      <c r="I454">
        <v>500</v>
      </c>
      <c r="J454" t="str">
        <f>HYPERLINK("https://climate.onebuilding.org/WMO_Region_4_North_and_Central_America/GTM_Guatemala/PE_Peten/GTM_PE_Poptun.786250_TMYx.2007-2021.zip")</f>
        <v>https://climate.onebuilding.org/WMO_Region_4_North_and_Central_America/GTM_Guatemala/PE_Peten/GTM_PE_Poptun.786250_TMYx.2007-2021.zip</v>
      </c>
    </row>
    <row r="455" spans="1:10" x14ac:dyDescent="0.25">
      <c r="A455" t="s">
        <v>282</v>
      </c>
      <c r="B455" t="s">
        <v>285</v>
      </c>
      <c r="C455" t="s">
        <v>286</v>
      </c>
      <c r="D455">
        <v>786250</v>
      </c>
      <c r="E455" t="s">
        <v>18</v>
      </c>
      <c r="F455">
        <v>16.317</v>
      </c>
      <c r="G455">
        <v>-89.417000000000002</v>
      </c>
      <c r="H455">
        <v>-6</v>
      </c>
      <c r="I455">
        <v>500</v>
      </c>
      <c r="J455" t="str">
        <f>HYPERLINK("https://climate.onebuilding.org/WMO_Region_4_North_and_Central_America/GTM_Guatemala/PE_Peten/GTM_PE_Poptun.786250_TMYx.2009-2023.zip")</f>
        <v>https://climate.onebuilding.org/WMO_Region_4_North_and_Central_America/GTM_Guatemala/PE_Peten/GTM_PE_Poptun.786250_TMYx.2009-2023.zip</v>
      </c>
    </row>
    <row r="456" spans="1:10" x14ac:dyDescent="0.25">
      <c r="A456" t="s">
        <v>282</v>
      </c>
      <c r="B456" t="s">
        <v>285</v>
      </c>
      <c r="C456" t="s">
        <v>286</v>
      </c>
      <c r="D456">
        <v>786250</v>
      </c>
      <c r="E456" t="s">
        <v>18</v>
      </c>
      <c r="F456">
        <v>16.317</v>
      </c>
      <c r="G456">
        <v>-89.417000000000002</v>
      </c>
      <c r="H456">
        <v>-6</v>
      </c>
      <c r="I456">
        <v>500</v>
      </c>
      <c r="J456" t="str">
        <f>HYPERLINK("https://climate.onebuilding.org/WMO_Region_4_North_and_Central_America/GTM_Guatemala/PE_Peten/GTM_PE_Poptun.786250_TMYx.zip")</f>
        <v>https://climate.onebuilding.org/WMO_Region_4_North_and_Central_America/GTM_Guatemala/PE_Peten/GTM_PE_Poptun.786250_TMYx.zip</v>
      </c>
    </row>
    <row r="457" spans="1:10" x14ac:dyDescent="0.25">
      <c r="A457" t="s">
        <v>282</v>
      </c>
      <c r="B457" t="s">
        <v>287</v>
      </c>
      <c r="C457" t="s">
        <v>288</v>
      </c>
      <c r="D457">
        <v>786270</v>
      </c>
      <c r="E457" t="s">
        <v>289</v>
      </c>
      <c r="F457">
        <v>15.317</v>
      </c>
      <c r="G457">
        <v>-91.517099999999999</v>
      </c>
      <c r="H457">
        <v>-6</v>
      </c>
      <c r="I457">
        <v>2350</v>
      </c>
      <c r="J457" t="str">
        <f>HYPERLINK("https://climate.onebuilding.org/WMO_Region_4_North_and_Central_America/GTM_Guatemala/HU_Huehuetenango/GTM_HU_Huehuetenango.786270_TMYx.2004-2018.zip")</f>
        <v>https://climate.onebuilding.org/WMO_Region_4_North_and_Central_America/GTM_Guatemala/HU_Huehuetenango/GTM_HU_Huehuetenango.786270_TMYx.2004-2018.zip</v>
      </c>
    </row>
    <row r="458" spans="1:10" x14ac:dyDescent="0.25">
      <c r="A458" t="s">
        <v>282</v>
      </c>
      <c r="B458" t="s">
        <v>287</v>
      </c>
      <c r="C458" t="s">
        <v>288</v>
      </c>
      <c r="D458">
        <v>786270</v>
      </c>
      <c r="E458" t="s">
        <v>10</v>
      </c>
      <c r="F458">
        <v>15.317</v>
      </c>
      <c r="G458">
        <v>-91.466999999999999</v>
      </c>
      <c r="H458">
        <v>-6</v>
      </c>
      <c r="I458">
        <v>2350</v>
      </c>
      <c r="J458" t="str">
        <f>HYPERLINK("https://climate.onebuilding.org/WMO_Region_4_North_and_Central_America/GTM_Guatemala/HU_Huehuetenango/GTM_HU_Huehuetenango.786270_TMYx.2007-2021.zip")</f>
        <v>https://climate.onebuilding.org/WMO_Region_4_North_and_Central_America/GTM_Guatemala/HU_Huehuetenango/GTM_HU_Huehuetenango.786270_TMYx.2007-2021.zip</v>
      </c>
    </row>
    <row r="459" spans="1:10" x14ac:dyDescent="0.25">
      <c r="A459" t="s">
        <v>282</v>
      </c>
      <c r="B459" t="s">
        <v>287</v>
      </c>
      <c r="C459" t="s">
        <v>288</v>
      </c>
      <c r="D459">
        <v>786270</v>
      </c>
      <c r="E459" t="s">
        <v>10</v>
      </c>
      <c r="F459">
        <v>15.317</v>
      </c>
      <c r="G459">
        <v>-91.466999999999999</v>
      </c>
      <c r="H459">
        <v>-6</v>
      </c>
      <c r="I459">
        <v>2350</v>
      </c>
      <c r="J459" t="str">
        <f>HYPERLINK("https://climate.onebuilding.org/WMO_Region_4_North_and_Central_America/GTM_Guatemala/HU_Huehuetenango/GTM_HU_Huehuetenango.786270_TMYx.2009-2023.zip")</f>
        <v>https://climate.onebuilding.org/WMO_Region_4_North_and_Central_America/GTM_Guatemala/HU_Huehuetenango/GTM_HU_Huehuetenango.786270_TMYx.2009-2023.zip</v>
      </c>
    </row>
    <row r="460" spans="1:10" x14ac:dyDescent="0.25">
      <c r="A460" t="s">
        <v>282</v>
      </c>
      <c r="B460" t="s">
        <v>287</v>
      </c>
      <c r="C460" t="s">
        <v>288</v>
      </c>
      <c r="D460">
        <v>786270</v>
      </c>
      <c r="E460" t="s">
        <v>10</v>
      </c>
      <c r="F460">
        <v>15.317</v>
      </c>
      <c r="G460">
        <v>-91.466999999999999</v>
      </c>
      <c r="H460">
        <v>-6</v>
      </c>
      <c r="I460">
        <v>2350</v>
      </c>
      <c r="J460" t="str">
        <f>HYPERLINK("https://climate.onebuilding.org/WMO_Region_4_North_and_Central_America/GTM_Guatemala/HU_Huehuetenango/GTM_HU_Huehuetenango.786270_TMYx.zip")</f>
        <v>https://climate.onebuilding.org/WMO_Region_4_North_and_Central_America/GTM_Guatemala/HU_Huehuetenango/GTM_HU_Huehuetenango.786270_TMYx.zip</v>
      </c>
    </row>
    <row r="461" spans="1:10" x14ac:dyDescent="0.25">
      <c r="A461" t="s">
        <v>282</v>
      </c>
      <c r="B461" t="s">
        <v>290</v>
      </c>
      <c r="C461" t="s">
        <v>291</v>
      </c>
      <c r="D461">
        <v>786290</v>
      </c>
      <c r="E461" t="s">
        <v>18</v>
      </c>
      <c r="F461">
        <v>14.83365</v>
      </c>
      <c r="G461">
        <v>-91.5</v>
      </c>
      <c r="H461">
        <v>-6</v>
      </c>
      <c r="I461">
        <v>950</v>
      </c>
      <c r="J461" t="str">
        <f>HYPERLINK("https://climate.onebuilding.org/WMO_Region_4_North_and_Central_America/GTM_Guatemala/QZ_Quetzaltenango/GTM_QZ_Quetzaltenango-Xelaju.786290_TMYx.2007-2021.zip")</f>
        <v>https://climate.onebuilding.org/WMO_Region_4_North_and_Central_America/GTM_Guatemala/QZ_Quetzaltenango/GTM_QZ_Quetzaltenango-Xelaju.786290_TMYx.2007-2021.zip</v>
      </c>
    </row>
    <row r="462" spans="1:10" x14ac:dyDescent="0.25">
      <c r="A462" t="s">
        <v>282</v>
      </c>
      <c r="B462" t="s">
        <v>290</v>
      </c>
      <c r="C462" t="s">
        <v>291</v>
      </c>
      <c r="D462">
        <v>786290</v>
      </c>
      <c r="E462" t="s">
        <v>18</v>
      </c>
      <c r="F462">
        <v>14.83365</v>
      </c>
      <c r="G462">
        <v>-91.5</v>
      </c>
      <c r="H462">
        <v>-6</v>
      </c>
      <c r="I462">
        <v>950</v>
      </c>
      <c r="J462" t="str">
        <f>HYPERLINK("https://climate.onebuilding.org/WMO_Region_4_North_and_Central_America/GTM_Guatemala/QZ_Quetzaltenango/GTM_QZ_Quetzaltenango-Xelaju.786290_TMYx.2009-2023.zip")</f>
        <v>https://climate.onebuilding.org/WMO_Region_4_North_and_Central_America/GTM_Guatemala/QZ_Quetzaltenango/GTM_QZ_Quetzaltenango-Xelaju.786290_TMYx.2009-2023.zip</v>
      </c>
    </row>
    <row r="463" spans="1:10" x14ac:dyDescent="0.25">
      <c r="A463" t="s">
        <v>282</v>
      </c>
      <c r="B463" t="s">
        <v>290</v>
      </c>
      <c r="C463" t="s">
        <v>291</v>
      </c>
      <c r="D463">
        <v>786290</v>
      </c>
      <c r="E463" t="s">
        <v>18</v>
      </c>
      <c r="F463">
        <v>14.83365</v>
      </c>
      <c r="G463">
        <v>-91.5</v>
      </c>
      <c r="H463">
        <v>-6</v>
      </c>
      <c r="I463">
        <v>950</v>
      </c>
      <c r="J463" t="str">
        <f>HYPERLINK("https://climate.onebuilding.org/WMO_Region_4_North_and_Central_America/GTM_Guatemala/QZ_Quetzaltenango/GTM_QZ_Quetzaltenango-Xelaju.786290_TMYx.zip")</f>
        <v>https://climate.onebuilding.org/WMO_Region_4_North_and_Central_America/GTM_Guatemala/QZ_Quetzaltenango/GTM_QZ_Quetzaltenango-Xelaju.786290_TMYx.zip</v>
      </c>
    </row>
    <row r="464" spans="1:10" x14ac:dyDescent="0.25">
      <c r="A464" t="s">
        <v>282</v>
      </c>
      <c r="B464" t="s">
        <v>292</v>
      </c>
      <c r="C464" t="s">
        <v>293</v>
      </c>
      <c r="D464">
        <v>786310</v>
      </c>
      <c r="E464" t="s">
        <v>294</v>
      </c>
      <c r="F464">
        <v>15.468999999999999</v>
      </c>
      <c r="G464">
        <v>-90.406999999999996</v>
      </c>
      <c r="H464">
        <v>-6</v>
      </c>
      <c r="I464">
        <v>1322.5</v>
      </c>
      <c r="J464" t="str">
        <f>HYPERLINK("https://climate.onebuilding.org/WMO_Region_4_North_and_Central_America/GTM_Guatemala/AV_Alta_Verapaz/GTM_AV_Coban.AP.786310_TMYx.2004-2018.zip")</f>
        <v>https://climate.onebuilding.org/WMO_Region_4_North_and_Central_America/GTM_Guatemala/AV_Alta_Verapaz/GTM_AV_Coban.AP.786310_TMYx.2004-2018.zip</v>
      </c>
    </row>
    <row r="465" spans="1:10" x14ac:dyDescent="0.25">
      <c r="A465" t="s">
        <v>282</v>
      </c>
      <c r="B465" t="s">
        <v>292</v>
      </c>
      <c r="C465" t="s">
        <v>293</v>
      </c>
      <c r="D465">
        <v>786310</v>
      </c>
      <c r="E465" t="s">
        <v>10</v>
      </c>
      <c r="F465">
        <v>15.468999999999999</v>
      </c>
      <c r="G465">
        <v>-90.406999999999996</v>
      </c>
      <c r="H465">
        <v>-6</v>
      </c>
      <c r="I465">
        <v>1322.5</v>
      </c>
      <c r="J465" t="str">
        <f>HYPERLINK("https://climate.onebuilding.org/WMO_Region_4_North_and_Central_America/GTM_Guatemala/AV_Alta_Verapaz/GTM_AV_Coban.AP.786310_TMYx.2007-2021.zip")</f>
        <v>https://climate.onebuilding.org/WMO_Region_4_North_and_Central_America/GTM_Guatemala/AV_Alta_Verapaz/GTM_AV_Coban.AP.786310_TMYx.2007-2021.zip</v>
      </c>
    </row>
    <row r="466" spans="1:10" x14ac:dyDescent="0.25">
      <c r="A466" t="s">
        <v>282</v>
      </c>
      <c r="B466" t="s">
        <v>292</v>
      </c>
      <c r="C466" t="s">
        <v>293</v>
      </c>
      <c r="D466">
        <v>786310</v>
      </c>
      <c r="E466" t="s">
        <v>10</v>
      </c>
      <c r="F466">
        <v>15.468999999999999</v>
      </c>
      <c r="G466">
        <v>-90.406999999999996</v>
      </c>
      <c r="H466">
        <v>-6</v>
      </c>
      <c r="I466">
        <v>1322.5</v>
      </c>
      <c r="J466" t="str">
        <f>HYPERLINK("https://climate.onebuilding.org/WMO_Region_4_North_and_Central_America/GTM_Guatemala/AV_Alta_Verapaz/GTM_AV_Coban.AP.786310_TMYx.2009-2023.zip")</f>
        <v>https://climate.onebuilding.org/WMO_Region_4_North_and_Central_America/GTM_Guatemala/AV_Alta_Verapaz/GTM_AV_Coban.AP.786310_TMYx.2009-2023.zip</v>
      </c>
    </row>
    <row r="467" spans="1:10" x14ac:dyDescent="0.25">
      <c r="A467" t="s">
        <v>282</v>
      </c>
      <c r="B467" t="s">
        <v>292</v>
      </c>
      <c r="C467" t="s">
        <v>293</v>
      </c>
      <c r="D467">
        <v>786310</v>
      </c>
      <c r="E467" t="s">
        <v>10</v>
      </c>
      <c r="F467">
        <v>15.468999999999999</v>
      </c>
      <c r="G467">
        <v>-90.406999999999996</v>
      </c>
      <c r="H467">
        <v>-6</v>
      </c>
      <c r="I467">
        <v>1322.5</v>
      </c>
      <c r="J467" t="str">
        <f>HYPERLINK("https://climate.onebuilding.org/WMO_Region_4_North_and_Central_America/GTM_Guatemala/AV_Alta_Verapaz/GTM_AV_Coban.AP.786310_TMYx.zip")</f>
        <v>https://climate.onebuilding.org/WMO_Region_4_North_and_Central_America/GTM_Guatemala/AV_Alta_Verapaz/GTM_AV_Coban.AP.786310_TMYx.zip</v>
      </c>
    </row>
    <row r="468" spans="1:10" x14ac:dyDescent="0.25">
      <c r="A468" t="s">
        <v>282</v>
      </c>
      <c r="B468" t="s">
        <v>102</v>
      </c>
      <c r="C468" t="s">
        <v>295</v>
      </c>
      <c r="D468">
        <v>786311</v>
      </c>
      <c r="E468" t="s">
        <v>296</v>
      </c>
      <c r="F468">
        <v>16.914000000000001</v>
      </c>
      <c r="G468">
        <v>-89.866</v>
      </c>
      <c r="H468">
        <v>-6</v>
      </c>
      <c r="I468">
        <v>130.1</v>
      </c>
      <c r="J468" t="str">
        <f>HYPERLINK("https://climate.onebuilding.org/WMO_Region_4_North_and_Central_America/GTM_Guatemala/GU_Guatemala/GTM_GU_Flores-Mundo.Maya.Intl.AP.786311_TMYx.2004-2018.zip")</f>
        <v>https://climate.onebuilding.org/WMO_Region_4_North_and_Central_America/GTM_Guatemala/GU_Guatemala/GTM_GU_Flores-Mundo.Maya.Intl.AP.786311_TMYx.2004-2018.zip</v>
      </c>
    </row>
    <row r="469" spans="1:10" x14ac:dyDescent="0.25">
      <c r="A469" t="s">
        <v>282</v>
      </c>
      <c r="B469" t="s">
        <v>102</v>
      </c>
      <c r="C469" t="s">
        <v>295</v>
      </c>
      <c r="D469">
        <v>786311</v>
      </c>
      <c r="E469" t="s">
        <v>10</v>
      </c>
      <c r="F469">
        <v>16.914000000000001</v>
      </c>
      <c r="G469">
        <v>-89.866</v>
      </c>
      <c r="H469">
        <v>-6</v>
      </c>
      <c r="I469">
        <v>130.1</v>
      </c>
      <c r="J469" t="str">
        <f>HYPERLINK("https://climate.onebuilding.org/WMO_Region_4_North_and_Central_America/GTM_Guatemala/GU_Guatemala/GTM_GU_Flores-Mundo.Maya.Intl.AP.786311_TMYx.2007-2021.zip")</f>
        <v>https://climate.onebuilding.org/WMO_Region_4_North_and_Central_America/GTM_Guatemala/GU_Guatemala/GTM_GU_Flores-Mundo.Maya.Intl.AP.786311_TMYx.2007-2021.zip</v>
      </c>
    </row>
    <row r="470" spans="1:10" x14ac:dyDescent="0.25">
      <c r="A470" t="s">
        <v>282</v>
      </c>
      <c r="B470" t="s">
        <v>102</v>
      </c>
      <c r="C470" t="s">
        <v>295</v>
      </c>
      <c r="D470">
        <v>786311</v>
      </c>
      <c r="E470" t="s">
        <v>10</v>
      </c>
      <c r="F470">
        <v>16.914000000000001</v>
      </c>
      <c r="G470">
        <v>-89.866</v>
      </c>
      <c r="H470">
        <v>-6</v>
      </c>
      <c r="I470">
        <v>130.1</v>
      </c>
      <c r="J470" t="str">
        <f>HYPERLINK("https://climate.onebuilding.org/WMO_Region_4_North_and_Central_America/GTM_Guatemala/GU_Guatemala/GTM_GU_Flores-Mundo.Maya.Intl.AP.786311_TMYx.2009-2023.zip")</f>
        <v>https://climate.onebuilding.org/WMO_Region_4_North_and_Central_America/GTM_Guatemala/GU_Guatemala/GTM_GU_Flores-Mundo.Maya.Intl.AP.786311_TMYx.2009-2023.zip</v>
      </c>
    </row>
    <row r="471" spans="1:10" x14ac:dyDescent="0.25">
      <c r="A471" t="s">
        <v>282</v>
      </c>
      <c r="B471" t="s">
        <v>102</v>
      </c>
      <c r="C471" t="s">
        <v>295</v>
      </c>
      <c r="D471">
        <v>786311</v>
      </c>
      <c r="E471" t="s">
        <v>10</v>
      </c>
      <c r="F471">
        <v>16.914000000000001</v>
      </c>
      <c r="G471">
        <v>-89.866</v>
      </c>
      <c r="H471">
        <v>-6</v>
      </c>
      <c r="I471">
        <v>130.1</v>
      </c>
      <c r="J471" t="str">
        <f>HYPERLINK("https://climate.onebuilding.org/WMO_Region_4_North_and_Central_America/GTM_Guatemala/GU_Guatemala/GTM_GU_Flores-Mundo.Maya.Intl.AP.786311_TMYx.zip")</f>
        <v>https://climate.onebuilding.org/WMO_Region_4_North_and_Central_America/GTM_Guatemala/GU_Guatemala/GTM_GU_Flores-Mundo.Maya.Intl.AP.786311_TMYx.zip</v>
      </c>
    </row>
    <row r="472" spans="1:10" x14ac:dyDescent="0.25">
      <c r="A472" t="s">
        <v>282</v>
      </c>
      <c r="B472" t="s">
        <v>285</v>
      </c>
      <c r="C472" t="s">
        <v>297</v>
      </c>
      <c r="D472">
        <v>786350</v>
      </c>
      <c r="E472" t="s">
        <v>18</v>
      </c>
      <c r="F472">
        <v>16.783000000000001</v>
      </c>
      <c r="G472">
        <v>-90.132999999999996</v>
      </c>
      <c r="H472">
        <v>-6</v>
      </c>
      <c r="I472">
        <v>180</v>
      </c>
      <c r="J472" t="str">
        <f>HYPERLINK("https://climate.onebuilding.org/WMO_Region_4_North_and_Central_America/GTM_Guatemala/PE_Peten/GTM_PE_La.Libertad.786350_TMYx.2007-2021.zip")</f>
        <v>https://climate.onebuilding.org/WMO_Region_4_North_and_Central_America/GTM_Guatemala/PE_Peten/GTM_PE_La.Libertad.786350_TMYx.2007-2021.zip</v>
      </c>
    </row>
    <row r="473" spans="1:10" x14ac:dyDescent="0.25">
      <c r="A473" t="s">
        <v>282</v>
      </c>
      <c r="B473" t="s">
        <v>285</v>
      </c>
      <c r="C473" t="s">
        <v>297</v>
      </c>
      <c r="D473">
        <v>786350</v>
      </c>
      <c r="E473" t="s">
        <v>18</v>
      </c>
      <c r="F473">
        <v>16.783000000000001</v>
      </c>
      <c r="G473">
        <v>-90.132999999999996</v>
      </c>
      <c r="H473">
        <v>-6</v>
      </c>
      <c r="I473">
        <v>180</v>
      </c>
      <c r="J473" t="str">
        <f>HYPERLINK("https://climate.onebuilding.org/WMO_Region_4_North_and_Central_America/GTM_Guatemala/PE_Peten/GTM_PE_La.Libertad.786350_TMYx.2009-2023.zip")</f>
        <v>https://climate.onebuilding.org/WMO_Region_4_North_and_Central_America/GTM_Guatemala/PE_Peten/GTM_PE_La.Libertad.786350_TMYx.2009-2023.zip</v>
      </c>
    </row>
    <row r="474" spans="1:10" x14ac:dyDescent="0.25">
      <c r="A474" t="s">
        <v>282</v>
      </c>
      <c r="B474" t="s">
        <v>285</v>
      </c>
      <c r="C474" t="s">
        <v>297</v>
      </c>
      <c r="D474">
        <v>786350</v>
      </c>
      <c r="E474" t="s">
        <v>18</v>
      </c>
      <c r="F474">
        <v>16.783000000000001</v>
      </c>
      <c r="G474">
        <v>-90.132999999999996</v>
      </c>
      <c r="H474">
        <v>-6</v>
      </c>
      <c r="I474">
        <v>180</v>
      </c>
      <c r="J474" t="str">
        <f>HYPERLINK("https://climate.onebuilding.org/WMO_Region_4_North_and_Central_America/GTM_Guatemala/PE_Peten/GTM_PE_La.Libertad.786350_TMYx.zip")</f>
        <v>https://climate.onebuilding.org/WMO_Region_4_North_and_Central_America/GTM_Guatemala/PE_Peten/GTM_PE_La.Libertad.786350_TMYx.zip</v>
      </c>
    </row>
    <row r="475" spans="1:10" x14ac:dyDescent="0.25">
      <c r="A475" t="s">
        <v>282</v>
      </c>
      <c r="B475" t="s">
        <v>298</v>
      </c>
      <c r="C475" t="s">
        <v>299</v>
      </c>
      <c r="D475">
        <v>786370</v>
      </c>
      <c r="E475" t="s">
        <v>300</v>
      </c>
      <c r="F475">
        <v>15.731</v>
      </c>
      <c r="G475">
        <v>-88.584000000000003</v>
      </c>
      <c r="H475">
        <v>-6</v>
      </c>
      <c r="I475">
        <v>10.1</v>
      </c>
      <c r="J475" t="str">
        <f>HYPERLINK("https://climate.onebuilding.org/WMO_Region_4_North_and_Central_America/GTM_Guatemala/IZ_Izabal/GTM_IZ_Puerto.Barrios.AP.786370_TMYx.2004-2018.zip")</f>
        <v>https://climate.onebuilding.org/WMO_Region_4_North_and_Central_America/GTM_Guatemala/IZ_Izabal/GTM_IZ_Puerto.Barrios.AP.786370_TMYx.2004-2018.zip</v>
      </c>
    </row>
    <row r="476" spans="1:10" x14ac:dyDescent="0.25">
      <c r="A476" t="s">
        <v>282</v>
      </c>
      <c r="B476" t="s">
        <v>298</v>
      </c>
      <c r="C476" t="s">
        <v>299</v>
      </c>
      <c r="D476">
        <v>786370</v>
      </c>
      <c r="E476" t="s">
        <v>10</v>
      </c>
      <c r="F476">
        <v>15.731</v>
      </c>
      <c r="G476">
        <v>-88.584000000000003</v>
      </c>
      <c r="H476">
        <v>-6</v>
      </c>
      <c r="I476">
        <v>10.1</v>
      </c>
      <c r="J476" t="str">
        <f>HYPERLINK("https://climate.onebuilding.org/WMO_Region_4_North_and_Central_America/GTM_Guatemala/IZ_Izabal/GTM_IZ_Puerto.Barrios.AP.786370_TMYx.2007-2021.zip")</f>
        <v>https://climate.onebuilding.org/WMO_Region_4_North_and_Central_America/GTM_Guatemala/IZ_Izabal/GTM_IZ_Puerto.Barrios.AP.786370_TMYx.2007-2021.zip</v>
      </c>
    </row>
    <row r="477" spans="1:10" x14ac:dyDescent="0.25">
      <c r="A477" t="s">
        <v>282</v>
      </c>
      <c r="B477" t="s">
        <v>298</v>
      </c>
      <c r="C477" t="s">
        <v>299</v>
      </c>
      <c r="D477">
        <v>786370</v>
      </c>
      <c r="E477" t="s">
        <v>10</v>
      </c>
      <c r="F477">
        <v>15.731</v>
      </c>
      <c r="G477">
        <v>-88.584000000000003</v>
      </c>
      <c r="H477">
        <v>-6</v>
      </c>
      <c r="I477">
        <v>10.1</v>
      </c>
      <c r="J477" t="str">
        <f>HYPERLINK("https://climate.onebuilding.org/WMO_Region_4_North_and_Central_America/GTM_Guatemala/IZ_Izabal/GTM_IZ_Puerto.Barrios.AP.786370_TMYx.2009-2023.zip")</f>
        <v>https://climate.onebuilding.org/WMO_Region_4_North_and_Central_America/GTM_Guatemala/IZ_Izabal/GTM_IZ_Puerto.Barrios.AP.786370_TMYx.2009-2023.zip</v>
      </c>
    </row>
    <row r="478" spans="1:10" x14ac:dyDescent="0.25">
      <c r="A478" t="s">
        <v>282</v>
      </c>
      <c r="B478" t="s">
        <v>298</v>
      </c>
      <c r="C478" t="s">
        <v>299</v>
      </c>
      <c r="D478">
        <v>786370</v>
      </c>
      <c r="E478" t="s">
        <v>10</v>
      </c>
      <c r="F478">
        <v>15.731</v>
      </c>
      <c r="G478">
        <v>-88.584000000000003</v>
      </c>
      <c r="H478">
        <v>-6</v>
      </c>
      <c r="I478">
        <v>10.1</v>
      </c>
      <c r="J478" t="str">
        <f>HYPERLINK("https://climate.onebuilding.org/WMO_Region_4_North_and_Central_America/GTM_Guatemala/IZ_Izabal/GTM_IZ_Puerto.Barrios.AP.786370_TMYx.zip")</f>
        <v>https://climate.onebuilding.org/WMO_Region_4_North_and_Central_America/GTM_Guatemala/IZ_Izabal/GTM_IZ_Puerto.Barrios.AP.786370_TMYx.zip</v>
      </c>
    </row>
    <row r="479" spans="1:10" x14ac:dyDescent="0.25">
      <c r="A479" t="s">
        <v>282</v>
      </c>
      <c r="B479" t="s">
        <v>301</v>
      </c>
      <c r="C479" t="s">
        <v>302</v>
      </c>
      <c r="D479">
        <v>786372</v>
      </c>
      <c r="E479" t="s">
        <v>303</v>
      </c>
      <c r="F479">
        <v>14.57</v>
      </c>
      <c r="G479">
        <v>-89.35</v>
      </c>
      <c r="H479">
        <v>-6</v>
      </c>
      <c r="I479">
        <v>965</v>
      </c>
      <c r="J479" t="str">
        <f>HYPERLINK("https://climate.onebuilding.org/WMO_Region_4_North_and_Central_America/GTM_Guatemala/CQ_Chiquimula/GTM_CQ_Esquipulas.786372_TMYx.2004-2018.zip")</f>
        <v>https://climate.onebuilding.org/WMO_Region_4_North_and_Central_America/GTM_Guatemala/CQ_Chiquimula/GTM_CQ_Esquipulas.786372_TMYx.2004-2018.zip</v>
      </c>
    </row>
    <row r="480" spans="1:10" x14ac:dyDescent="0.25">
      <c r="A480" t="s">
        <v>282</v>
      </c>
      <c r="B480" t="s">
        <v>301</v>
      </c>
      <c r="C480" t="s">
        <v>302</v>
      </c>
      <c r="D480">
        <v>786372</v>
      </c>
      <c r="E480" t="s">
        <v>10</v>
      </c>
      <c r="F480">
        <v>14.57</v>
      </c>
      <c r="G480">
        <v>-89.35</v>
      </c>
      <c r="H480">
        <v>-6</v>
      </c>
      <c r="I480">
        <v>965</v>
      </c>
      <c r="J480" t="str">
        <f>HYPERLINK("https://climate.onebuilding.org/WMO_Region_4_North_and_Central_America/GTM_Guatemala/CQ_Chiquimula/GTM_CQ_Esquipulas.786372_TMYx.2007-2021.zip")</f>
        <v>https://climate.onebuilding.org/WMO_Region_4_North_and_Central_America/GTM_Guatemala/CQ_Chiquimula/GTM_CQ_Esquipulas.786372_TMYx.2007-2021.zip</v>
      </c>
    </row>
    <row r="481" spans="1:10" x14ac:dyDescent="0.25">
      <c r="A481" t="s">
        <v>282</v>
      </c>
      <c r="B481" t="s">
        <v>301</v>
      </c>
      <c r="C481" t="s">
        <v>302</v>
      </c>
      <c r="D481">
        <v>786372</v>
      </c>
      <c r="E481" t="s">
        <v>10</v>
      </c>
      <c r="F481">
        <v>14.57</v>
      </c>
      <c r="G481">
        <v>-89.35</v>
      </c>
      <c r="H481">
        <v>-6</v>
      </c>
      <c r="I481">
        <v>965</v>
      </c>
      <c r="J481" t="str">
        <f>HYPERLINK("https://climate.onebuilding.org/WMO_Region_4_North_and_Central_America/GTM_Guatemala/CQ_Chiquimula/GTM_CQ_Esquipulas.786372_TMYx.2009-2023.zip")</f>
        <v>https://climate.onebuilding.org/WMO_Region_4_North_and_Central_America/GTM_Guatemala/CQ_Chiquimula/GTM_CQ_Esquipulas.786372_TMYx.2009-2023.zip</v>
      </c>
    </row>
    <row r="482" spans="1:10" x14ac:dyDescent="0.25">
      <c r="A482" t="s">
        <v>282</v>
      </c>
      <c r="B482" t="s">
        <v>301</v>
      </c>
      <c r="C482" t="s">
        <v>302</v>
      </c>
      <c r="D482">
        <v>786372</v>
      </c>
      <c r="E482" t="s">
        <v>10</v>
      </c>
      <c r="F482">
        <v>14.57</v>
      </c>
      <c r="G482">
        <v>-89.35</v>
      </c>
      <c r="H482">
        <v>-6</v>
      </c>
      <c r="I482">
        <v>965</v>
      </c>
      <c r="J482" t="str">
        <f>HYPERLINK("https://climate.onebuilding.org/WMO_Region_4_North_and_Central_America/GTM_Guatemala/CQ_Chiquimula/GTM_CQ_Esquipulas.786372_TMYx.zip")</f>
        <v>https://climate.onebuilding.org/WMO_Region_4_North_and_Central_America/GTM_Guatemala/CQ_Chiquimula/GTM_CQ_Esquipulas.786372_TMYx.zip</v>
      </c>
    </row>
    <row r="483" spans="1:10" x14ac:dyDescent="0.25">
      <c r="A483" t="s">
        <v>282</v>
      </c>
      <c r="B483" t="s">
        <v>304</v>
      </c>
      <c r="C483" t="s">
        <v>305</v>
      </c>
      <c r="D483">
        <v>786374</v>
      </c>
      <c r="E483" t="s">
        <v>10</v>
      </c>
      <c r="F483">
        <v>14.3</v>
      </c>
      <c r="G483">
        <v>-91.9</v>
      </c>
      <c r="H483">
        <v>-6</v>
      </c>
      <c r="I483">
        <v>11</v>
      </c>
      <c r="J483" t="str">
        <f>HYPERLINK("https://climate.onebuilding.org/WMO_Region_4_North_and_Central_America/GTM_Guatemala/RE_Retalhuleu/GTM_RE_Champerico.786374_TMYx.2007-2021.zip")</f>
        <v>https://climate.onebuilding.org/WMO_Region_4_North_and_Central_America/GTM_Guatemala/RE_Retalhuleu/GTM_RE_Champerico.786374_TMYx.2007-2021.zip</v>
      </c>
    </row>
    <row r="484" spans="1:10" x14ac:dyDescent="0.25">
      <c r="A484" t="s">
        <v>282</v>
      </c>
      <c r="B484" t="s">
        <v>304</v>
      </c>
      <c r="C484" t="s">
        <v>305</v>
      </c>
      <c r="D484">
        <v>786374</v>
      </c>
      <c r="E484" t="s">
        <v>10</v>
      </c>
      <c r="F484">
        <v>14.3</v>
      </c>
      <c r="G484">
        <v>-91.9</v>
      </c>
      <c r="H484">
        <v>-6</v>
      </c>
      <c r="I484">
        <v>11</v>
      </c>
      <c r="J484" t="str">
        <f>HYPERLINK("https://climate.onebuilding.org/WMO_Region_4_North_and_Central_America/GTM_Guatemala/RE_Retalhuleu/GTM_RE_Champerico.786374_TMYx.2009-2023.zip")</f>
        <v>https://climate.onebuilding.org/WMO_Region_4_North_and_Central_America/GTM_Guatemala/RE_Retalhuleu/GTM_RE_Champerico.786374_TMYx.2009-2023.zip</v>
      </c>
    </row>
    <row r="485" spans="1:10" x14ac:dyDescent="0.25">
      <c r="A485" t="s">
        <v>282</v>
      </c>
      <c r="B485" t="s">
        <v>304</v>
      </c>
      <c r="C485" t="s">
        <v>305</v>
      </c>
      <c r="D485">
        <v>786374</v>
      </c>
      <c r="E485" t="s">
        <v>10</v>
      </c>
      <c r="F485">
        <v>14.3</v>
      </c>
      <c r="G485">
        <v>-91.9</v>
      </c>
      <c r="H485">
        <v>-6</v>
      </c>
      <c r="I485">
        <v>11</v>
      </c>
      <c r="J485" t="str">
        <f>HYPERLINK("https://climate.onebuilding.org/WMO_Region_4_North_and_Central_America/GTM_Guatemala/RE_Retalhuleu/GTM_RE_Champerico.786374_TMYx.zip")</f>
        <v>https://climate.onebuilding.org/WMO_Region_4_North_and_Central_America/GTM_Guatemala/RE_Retalhuleu/GTM_RE_Champerico.786374_TMYx.zip</v>
      </c>
    </row>
    <row r="486" spans="1:10" x14ac:dyDescent="0.25">
      <c r="A486" t="s">
        <v>282</v>
      </c>
      <c r="B486" t="s">
        <v>285</v>
      </c>
      <c r="C486" t="s">
        <v>306</v>
      </c>
      <c r="D486">
        <v>786375</v>
      </c>
      <c r="E486" t="s">
        <v>18</v>
      </c>
      <c r="F486">
        <v>17.266999999999999</v>
      </c>
      <c r="G486">
        <v>-90.25</v>
      </c>
      <c r="H486">
        <v>-6</v>
      </c>
      <c r="I486">
        <v>61</v>
      </c>
      <c r="J486" t="str">
        <f>HYPERLINK("https://climate.onebuilding.org/WMO_Region_4_North_and_Central_America/GTM_Guatemala/PE_Peten/GTM_PE_Paso.Caballos.AP.786375_TMYx.2007-2021.zip")</f>
        <v>https://climate.onebuilding.org/WMO_Region_4_North_and_Central_America/GTM_Guatemala/PE_Peten/GTM_PE_Paso.Caballos.AP.786375_TMYx.2007-2021.zip</v>
      </c>
    </row>
    <row r="487" spans="1:10" x14ac:dyDescent="0.25">
      <c r="A487" t="s">
        <v>282</v>
      </c>
      <c r="B487" t="s">
        <v>285</v>
      </c>
      <c r="C487" t="s">
        <v>306</v>
      </c>
      <c r="D487">
        <v>786375</v>
      </c>
      <c r="E487" t="s">
        <v>18</v>
      </c>
      <c r="F487">
        <v>17.266999999999999</v>
      </c>
      <c r="G487">
        <v>-90.25</v>
      </c>
      <c r="H487">
        <v>-6</v>
      </c>
      <c r="I487">
        <v>61</v>
      </c>
      <c r="J487" t="str">
        <f>HYPERLINK("https://climate.onebuilding.org/WMO_Region_4_North_and_Central_America/GTM_Guatemala/PE_Peten/GTM_PE_Paso.Caballos.AP.786375_TMYx.2009-2023.zip")</f>
        <v>https://climate.onebuilding.org/WMO_Region_4_North_and_Central_America/GTM_Guatemala/PE_Peten/GTM_PE_Paso.Caballos.AP.786375_TMYx.2009-2023.zip</v>
      </c>
    </row>
    <row r="488" spans="1:10" x14ac:dyDescent="0.25">
      <c r="A488" t="s">
        <v>282</v>
      </c>
      <c r="B488" t="s">
        <v>285</v>
      </c>
      <c r="C488" t="s">
        <v>306</v>
      </c>
      <c r="D488">
        <v>786375</v>
      </c>
      <c r="E488" t="s">
        <v>18</v>
      </c>
      <c r="F488">
        <v>17.266999999999999</v>
      </c>
      <c r="G488">
        <v>-90.25</v>
      </c>
      <c r="H488">
        <v>-6</v>
      </c>
      <c r="I488">
        <v>61</v>
      </c>
      <c r="J488" t="str">
        <f>HYPERLINK("https://climate.onebuilding.org/WMO_Region_4_North_and_Central_America/GTM_Guatemala/PE_Peten/GTM_PE_Paso.Caballos.AP.786375_TMYx.zip")</f>
        <v>https://climate.onebuilding.org/WMO_Region_4_North_and_Central_America/GTM_Guatemala/PE_Peten/GTM_PE_Paso.Caballos.AP.786375_TMYx.zip</v>
      </c>
    </row>
    <row r="489" spans="1:10" x14ac:dyDescent="0.25">
      <c r="A489" t="s">
        <v>282</v>
      </c>
      <c r="B489" t="s">
        <v>102</v>
      </c>
      <c r="C489" t="s">
        <v>307</v>
      </c>
      <c r="D489">
        <v>786376</v>
      </c>
      <c r="E489" t="s">
        <v>308</v>
      </c>
      <c r="F489">
        <v>16.899999999999999</v>
      </c>
      <c r="G489">
        <v>-89.867000000000004</v>
      </c>
      <c r="H489">
        <v>-6</v>
      </c>
      <c r="I489">
        <v>117.7</v>
      </c>
      <c r="J489" t="str">
        <f>HYPERLINK("https://climate.onebuilding.org/WMO_Region_4_North_and_Central_America/GTM_Guatemala/GU_Guatemala/GTM_GU_Santa.Elena.Rural.786376_TMYx.2004-2018.zip")</f>
        <v>https://climate.onebuilding.org/WMO_Region_4_North_and_Central_America/GTM_Guatemala/GU_Guatemala/GTM_GU_Santa.Elena.Rural.786376_TMYx.2004-2018.zip</v>
      </c>
    </row>
    <row r="490" spans="1:10" x14ac:dyDescent="0.25">
      <c r="A490" t="s">
        <v>282</v>
      </c>
      <c r="B490" t="s">
        <v>102</v>
      </c>
      <c r="C490" t="s">
        <v>307</v>
      </c>
      <c r="D490">
        <v>786376</v>
      </c>
      <c r="E490" t="s">
        <v>10</v>
      </c>
      <c r="F490">
        <v>16.899999999999999</v>
      </c>
      <c r="G490">
        <v>-89.867000000000004</v>
      </c>
      <c r="H490">
        <v>-6</v>
      </c>
      <c r="I490">
        <v>117.7</v>
      </c>
      <c r="J490" t="str">
        <f>HYPERLINK("https://climate.onebuilding.org/WMO_Region_4_North_and_Central_America/GTM_Guatemala/GU_Guatemala/GTM_GU_Santa.Elena.Rural.786376_TMYx.2007-2021.zip")</f>
        <v>https://climate.onebuilding.org/WMO_Region_4_North_and_Central_America/GTM_Guatemala/GU_Guatemala/GTM_GU_Santa.Elena.Rural.786376_TMYx.2007-2021.zip</v>
      </c>
    </row>
    <row r="491" spans="1:10" x14ac:dyDescent="0.25">
      <c r="A491" t="s">
        <v>282</v>
      </c>
      <c r="B491" t="s">
        <v>102</v>
      </c>
      <c r="C491" t="s">
        <v>307</v>
      </c>
      <c r="D491">
        <v>786376</v>
      </c>
      <c r="E491" t="s">
        <v>10</v>
      </c>
      <c r="F491">
        <v>16.899999999999999</v>
      </c>
      <c r="G491">
        <v>-89.867000000000004</v>
      </c>
      <c r="H491">
        <v>-6</v>
      </c>
      <c r="I491">
        <v>117.7</v>
      </c>
      <c r="J491" t="str">
        <f>HYPERLINK("https://climate.onebuilding.org/WMO_Region_4_North_and_Central_America/GTM_Guatemala/GU_Guatemala/GTM_GU_Santa.Elena.Rural.786376_TMYx.2009-2023.zip")</f>
        <v>https://climate.onebuilding.org/WMO_Region_4_North_and_Central_America/GTM_Guatemala/GU_Guatemala/GTM_GU_Santa.Elena.Rural.786376_TMYx.2009-2023.zip</v>
      </c>
    </row>
    <row r="492" spans="1:10" x14ac:dyDescent="0.25">
      <c r="A492" t="s">
        <v>282</v>
      </c>
      <c r="B492" t="s">
        <v>102</v>
      </c>
      <c r="C492" t="s">
        <v>307</v>
      </c>
      <c r="D492">
        <v>786376</v>
      </c>
      <c r="E492" t="s">
        <v>10</v>
      </c>
      <c r="F492">
        <v>16.899999999999999</v>
      </c>
      <c r="G492">
        <v>-89.867000000000004</v>
      </c>
      <c r="H492">
        <v>-6</v>
      </c>
      <c r="I492">
        <v>117.7</v>
      </c>
      <c r="J492" t="str">
        <f>HYPERLINK("https://climate.onebuilding.org/WMO_Region_4_North_and_Central_America/GTM_Guatemala/GU_Guatemala/GTM_GU_Santa.Elena.Rural.786376_TMYx.zip")</f>
        <v>https://climate.onebuilding.org/WMO_Region_4_North_and_Central_America/GTM_Guatemala/GU_Guatemala/GTM_GU_Santa.Elena.Rural.786376_TMYx.zip</v>
      </c>
    </row>
    <row r="493" spans="1:10" x14ac:dyDescent="0.25">
      <c r="A493" t="s">
        <v>282</v>
      </c>
      <c r="B493" t="s">
        <v>304</v>
      </c>
      <c r="C493" t="s">
        <v>309</v>
      </c>
      <c r="D493">
        <v>786390</v>
      </c>
      <c r="E493" t="s">
        <v>310</v>
      </c>
      <c r="F493">
        <v>14.521000000000001</v>
      </c>
      <c r="G493">
        <v>-91.697000000000003</v>
      </c>
      <c r="H493">
        <v>-6</v>
      </c>
      <c r="I493">
        <v>199.9</v>
      </c>
      <c r="J493" t="str">
        <f>HYPERLINK("https://climate.onebuilding.org/WMO_Region_4_North_and_Central_America/GTM_Guatemala/RE_Retalhuleu/GTM_RE_Retalhuleu.AP.786390_TMYx.2004-2018.zip")</f>
        <v>https://climate.onebuilding.org/WMO_Region_4_North_and_Central_America/GTM_Guatemala/RE_Retalhuleu/GTM_RE_Retalhuleu.AP.786390_TMYx.2004-2018.zip</v>
      </c>
    </row>
    <row r="494" spans="1:10" x14ac:dyDescent="0.25">
      <c r="A494" t="s">
        <v>282</v>
      </c>
      <c r="B494" t="s">
        <v>304</v>
      </c>
      <c r="C494" t="s">
        <v>309</v>
      </c>
      <c r="D494">
        <v>786390</v>
      </c>
      <c r="E494" t="s">
        <v>10</v>
      </c>
      <c r="F494">
        <v>14.521000000000001</v>
      </c>
      <c r="G494">
        <v>-91.697000000000003</v>
      </c>
      <c r="H494">
        <v>-6</v>
      </c>
      <c r="I494">
        <v>199.9</v>
      </c>
      <c r="J494" t="str">
        <f>HYPERLINK("https://climate.onebuilding.org/WMO_Region_4_North_and_Central_America/GTM_Guatemala/RE_Retalhuleu/GTM_RE_Retalhuleu.AP.786390_TMYx.2007-2021.zip")</f>
        <v>https://climate.onebuilding.org/WMO_Region_4_North_and_Central_America/GTM_Guatemala/RE_Retalhuleu/GTM_RE_Retalhuleu.AP.786390_TMYx.2007-2021.zip</v>
      </c>
    </row>
    <row r="495" spans="1:10" x14ac:dyDescent="0.25">
      <c r="A495" t="s">
        <v>282</v>
      </c>
      <c r="B495" t="s">
        <v>304</v>
      </c>
      <c r="C495" t="s">
        <v>309</v>
      </c>
      <c r="D495">
        <v>786390</v>
      </c>
      <c r="E495" t="s">
        <v>10</v>
      </c>
      <c r="F495">
        <v>14.521000000000001</v>
      </c>
      <c r="G495">
        <v>-91.697000000000003</v>
      </c>
      <c r="H495">
        <v>-6</v>
      </c>
      <c r="I495">
        <v>199.9</v>
      </c>
      <c r="J495" t="str">
        <f>HYPERLINK("https://climate.onebuilding.org/WMO_Region_4_North_and_Central_America/GTM_Guatemala/RE_Retalhuleu/GTM_RE_Retalhuleu.AP.786390_TMYx.2009-2023.zip")</f>
        <v>https://climate.onebuilding.org/WMO_Region_4_North_and_Central_America/GTM_Guatemala/RE_Retalhuleu/GTM_RE_Retalhuleu.AP.786390_TMYx.2009-2023.zip</v>
      </c>
    </row>
    <row r="496" spans="1:10" x14ac:dyDescent="0.25">
      <c r="A496" t="s">
        <v>282</v>
      </c>
      <c r="B496" t="s">
        <v>304</v>
      </c>
      <c r="C496" t="s">
        <v>309</v>
      </c>
      <c r="D496">
        <v>786390</v>
      </c>
      <c r="E496" t="s">
        <v>10</v>
      </c>
      <c r="F496">
        <v>14.521000000000001</v>
      </c>
      <c r="G496">
        <v>-91.697000000000003</v>
      </c>
      <c r="H496">
        <v>-6</v>
      </c>
      <c r="I496">
        <v>199.9</v>
      </c>
      <c r="J496" t="str">
        <f>HYPERLINK("https://climate.onebuilding.org/WMO_Region_4_North_and_Central_America/GTM_Guatemala/RE_Retalhuleu/GTM_RE_Retalhuleu.AP.786390_TMYx.zip")</f>
        <v>https://climate.onebuilding.org/WMO_Region_4_North_and_Central_America/GTM_Guatemala/RE_Retalhuleu/GTM_RE_Retalhuleu.AP.786390_TMYx.zip</v>
      </c>
    </row>
    <row r="497" spans="1:10" x14ac:dyDescent="0.25">
      <c r="A497" t="s">
        <v>282</v>
      </c>
      <c r="B497" t="s">
        <v>102</v>
      </c>
      <c r="C497" t="s">
        <v>311</v>
      </c>
      <c r="D497">
        <v>786410</v>
      </c>
      <c r="E497" t="s">
        <v>312</v>
      </c>
      <c r="F497">
        <v>14.583</v>
      </c>
      <c r="G497">
        <v>-90.527000000000001</v>
      </c>
      <c r="H497">
        <v>-6</v>
      </c>
      <c r="I497">
        <v>1509.4</v>
      </c>
      <c r="J497" t="str">
        <f>HYPERLINK("https://climate.onebuilding.org/WMO_Region_4_North_and_Central_America/GTM_Guatemala/GU_Guatemala/GTM_GU_Ciudad.Guatemala-La.Aurora.Intl.AP.786410_TMYx.2004-2018.zip")</f>
        <v>https://climate.onebuilding.org/WMO_Region_4_North_and_Central_America/GTM_Guatemala/GU_Guatemala/GTM_GU_Ciudad.Guatemala-La.Aurora.Intl.AP.786410_TMYx.2004-2018.zip</v>
      </c>
    </row>
    <row r="498" spans="1:10" x14ac:dyDescent="0.25">
      <c r="A498" t="s">
        <v>282</v>
      </c>
      <c r="B498" t="s">
        <v>102</v>
      </c>
      <c r="C498" t="s">
        <v>311</v>
      </c>
      <c r="D498">
        <v>786410</v>
      </c>
      <c r="E498" t="s">
        <v>10</v>
      </c>
      <c r="F498">
        <v>14.583</v>
      </c>
      <c r="G498">
        <v>-90.527000000000001</v>
      </c>
      <c r="H498">
        <v>-6</v>
      </c>
      <c r="I498">
        <v>1509.4</v>
      </c>
      <c r="J498" t="str">
        <f>HYPERLINK("https://climate.onebuilding.org/WMO_Region_4_North_and_Central_America/GTM_Guatemala/GU_Guatemala/GTM_GU_Ciudad.Guatemala-La.Aurora.Intl.AP.786410_TMYx.2007-2021.zip")</f>
        <v>https://climate.onebuilding.org/WMO_Region_4_North_and_Central_America/GTM_Guatemala/GU_Guatemala/GTM_GU_Ciudad.Guatemala-La.Aurora.Intl.AP.786410_TMYx.2007-2021.zip</v>
      </c>
    </row>
    <row r="499" spans="1:10" x14ac:dyDescent="0.25">
      <c r="A499" t="s">
        <v>282</v>
      </c>
      <c r="B499" t="s">
        <v>102</v>
      </c>
      <c r="C499" t="s">
        <v>311</v>
      </c>
      <c r="D499">
        <v>786410</v>
      </c>
      <c r="E499" t="s">
        <v>10</v>
      </c>
      <c r="F499">
        <v>14.583</v>
      </c>
      <c r="G499">
        <v>-90.527000000000001</v>
      </c>
      <c r="H499">
        <v>-6</v>
      </c>
      <c r="I499">
        <v>1509.4</v>
      </c>
      <c r="J499" t="str">
        <f>HYPERLINK("https://climate.onebuilding.org/WMO_Region_4_North_and_Central_America/GTM_Guatemala/GU_Guatemala/GTM_GU_Ciudad.Guatemala-La.Aurora.Intl.AP.786410_TMYx.2009-2023.zip")</f>
        <v>https://climate.onebuilding.org/WMO_Region_4_North_and_Central_America/GTM_Guatemala/GU_Guatemala/GTM_GU_Ciudad.Guatemala-La.Aurora.Intl.AP.786410_TMYx.2009-2023.zip</v>
      </c>
    </row>
    <row r="500" spans="1:10" x14ac:dyDescent="0.25">
      <c r="A500" t="s">
        <v>282</v>
      </c>
      <c r="B500" t="s">
        <v>102</v>
      </c>
      <c r="C500" t="s">
        <v>311</v>
      </c>
      <c r="D500">
        <v>786410</v>
      </c>
      <c r="E500" t="s">
        <v>10</v>
      </c>
      <c r="F500">
        <v>14.583</v>
      </c>
      <c r="G500">
        <v>-90.527000000000001</v>
      </c>
      <c r="H500">
        <v>-6</v>
      </c>
      <c r="I500">
        <v>1509.4</v>
      </c>
      <c r="J500" t="str">
        <f>HYPERLINK("https://climate.onebuilding.org/WMO_Region_4_North_and_Central_America/GTM_Guatemala/GU_Guatemala/GTM_GU_Ciudad.Guatemala-La.Aurora.Intl.AP.786410_TMYx.zip")</f>
        <v>https://climate.onebuilding.org/WMO_Region_4_North_and_Central_America/GTM_Guatemala/GU_Guatemala/GTM_GU_Ciudad.Guatemala-La.Aurora.Intl.AP.786410_TMYx.zip</v>
      </c>
    </row>
    <row r="501" spans="1:10" x14ac:dyDescent="0.25">
      <c r="A501" t="s">
        <v>282</v>
      </c>
      <c r="B501" t="s">
        <v>313</v>
      </c>
      <c r="C501" t="s">
        <v>314</v>
      </c>
      <c r="D501">
        <v>786445</v>
      </c>
      <c r="E501" t="s">
        <v>315</v>
      </c>
      <c r="F501">
        <v>14.967000000000001</v>
      </c>
      <c r="G501">
        <v>-89.533000000000001</v>
      </c>
      <c r="H501">
        <v>-6</v>
      </c>
      <c r="I501">
        <v>190.8</v>
      </c>
      <c r="J501" t="str">
        <f>HYPERLINK("https://climate.onebuilding.org/WMO_Region_4_North_and_Central_America/GTM_Guatemala/ZA_Zacapa/GTM_ZA_Zacapa.786445_TMYx.2004-2018.zip")</f>
        <v>https://climate.onebuilding.org/WMO_Region_4_North_and_Central_America/GTM_Guatemala/ZA_Zacapa/GTM_ZA_Zacapa.786445_TMYx.2004-2018.zip</v>
      </c>
    </row>
    <row r="502" spans="1:10" x14ac:dyDescent="0.25">
      <c r="A502" t="s">
        <v>282</v>
      </c>
      <c r="B502" t="s">
        <v>313</v>
      </c>
      <c r="C502" t="s">
        <v>314</v>
      </c>
      <c r="D502">
        <v>786445</v>
      </c>
      <c r="E502" t="s">
        <v>10</v>
      </c>
      <c r="F502">
        <v>14.967000000000001</v>
      </c>
      <c r="G502">
        <v>-89.533000000000001</v>
      </c>
      <c r="H502">
        <v>-6</v>
      </c>
      <c r="I502">
        <v>190.8</v>
      </c>
      <c r="J502" t="str">
        <f>HYPERLINK("https://climate.onebuilding.org/WMO_Region_4_North_and_Central_America/GTM_Guatemala/ZA_Zacapa/GTM_ZA_Zacapa.786445_TMYx.2007-2021.zip")</f>
        <v>https://climate.onebuilding.org/WMO_Region_4_North_and_Central_America/GTM_Guatemala/ZA_Zacapa/GTM_ZA_Zacapa.786445_TMYx.2007-2021.zip</v>
      </c>
    </row>
    <row r="503" spans="1:10" x14ac:dyDescent="0.25">
      <c r="A503" t="s">
        <v>282</v>
      </c>
      <c r="B503" t="s">
        <v>313</v>
      </c>
      <c r="C503" t="s">
        <v>314</v>
      </c>
      <c r="D503">
        <v>786445</v>
      </c>
      <c r="E503" t="s">
        <v>10</v>
      </c>
      <c r="F503">
        <v>14.967000000000001</v>
      </c>
      <c r="G503">
        <v>-89.533000000000001</v>
      </c>
      <c r="H503">
        <v>-6</v>
      </c>
      <c r="I503">
        <v>190.8</v>
      </c>
      <c r="J503" t="str">
        <f>HYPERLINK("https://climate.onebuilding.org/WMO_Region_4_North_and_Central_America/GTM_Guatemala/ZA_Zacapa/GTM_ZA_Zacapa.786445_TMYx.2009-2023.zip")</f>
        <v>https://climate.onebuilding.org/WMO_Region_4_North_and_Central_America/GTM_Guatemala/ZA_Zacapa/GTM_ZA_Zacapa.786445_TMYx.2009-2023.zip</v>
      </c>
    </row>
    <row r="504" spans="1:10" x14ac:dyDescent="0.25">
      <c r="A504" t="s">
        <v>282</v>
      </c>
      <c r="B504" t="s">
        <v>313</v>
      </c>
      <c r="C504" t="s">
        <v>314</v>
      </c>
      <c r="D504">
        <v>786445</v>
      </c>
      <c r="E504" t="s">
        <v>10</v>
      </c>
      <c r="F504">
        <v>14.967000000000001</v>
      </c>
      <c r="G504">
        <v>-89.533000000000001</v>
      </c>
      <c r="H504">
        <v>-6</v>
      </c>
      <c r="I504">
        <v>190.8</v>
      </c>
      <c r="J504" t="str">
        <f>HYPERLINK("https://climate.onebuilding.org/WMO_Region_4_North_and_Central_America/GTM_Guatemala/ZA_Zacapa/GTM_ZA_Zacapa.786445_TMYx.zip")</f>
        <v>https://climate.onebuilding.org/WMO_Region_4_North_and_Central_America/GTM_Guatemala/ZA_Zacapa/GTM_ZA_Zacapa.786445_TMYx.zip</v>
      </c>
    </row>
    <row r="505" spans="1:10" x14ac:dyDescent="0.25">
      <c r="A505" t="s">
        <v>282</v>
      </c>
      <c r="B505" t="s">
        <v>316</v>
      </c>
      <c r="C505" t="s">
        <v>317</v>
      </c>
      <c r="D505">
        <v>786470</v>
      </c>
      <c r="E505" t="s">
        <v>318</v>
      </c>
      <c r="F505">
        <v>13.936</v>
      </c>
      <c r="G505">
        <v>-90.835999999999999</v>
      </c>
      <c r="H505">
        <v>-6</v>
      </c>
      <c r="I505">
        <v>8.8000000000000007</v>
      </c>
      <c r="J505" t="str">
        <f>HYPERLINK("https://climate.onebuilding.org/WMO_Region_4_North_and_Central_America/GTM_Guatemala/ES_Escuintla/GTM_ES_Puerto.San.Jose-San.Jose.AP.786470_TMYx.2004-2018.zip")</f>
        <v>https://climate.onebuilding.org/WMO_Region_4_North_and_Central_America/GTM_Guatemala/ES_Escuintla/GTM_ES_Puerto.San.Jose-San.Jose.AP.786470_TMYx.2004-2018.zip</v>
      </c>
    </row>
    <row r="506" spans="1:10" x14ac:dyDescent="0.25">
      <c r="A506" t="s">
        <v>282</v>
      </c>
      <c r="B506" t="s">
        <v>316</v>
      </c>
      <c r="C506" t="s">
        <v>317</v>
      </c>
      <c r="D506">
        <v>786470</v>
      </c>
      <c r="E506" t="s">
        <v>10</v>
      </c>
      <c r="F506">
        <v>13.936</v>
      </c>
      <c r="G506">
        <v>-90.835999999999999</v>
      </c>
      <c r="H506">
        <v>-6</v>
      </c>
      <c r="I506">
        <v>8.8000000000000007</v>
      </c>
      <c r="J506" t="str">
        <f>HYPERLINK("https://climate.onebuilding.org/WMO_Region_4_North_and_Central_America/GTM_Guatemala/ES_Escuintla/GTM_ES_Puerto.San.Jose-San.Jose.AP.786470_TMYx.2007-2021.zip")</f>
        <v>https://climate.onebuilding.org/WMO_Region_4_North_and_Central_America/GTM_Guatemala/ES_Escuintla/GTM_ES_Puerto.San.Jose-San.Jose.AP.786470_TMYx.2007-2021.zip</v>
      </c>
    </row>
    <row r="507" spans="1:10" x14ac:dyDescent="0.25">
      <c r="A507" t="s">
        <v>282</v>
      </c>
      <c r="B507" t="s">
        <v>316</v>
      </c>
      <c r="C507" t="s">
        <v>317</v>
      </c>
      <c r="D507">
        <v>786470</v>
      </c>
      <c r="E507" t="s">
        <v>10</v>
      </c>
      <c r="F507">
        <v>13.936</v>
      </c>
      <c r="G507">
        <v>-90.835999999999999</v>
      </c>
      <c r="H507">
        <v>-6</v>
      </c>
      <c r="I507">
        <v>8.8000000000000007</v>
      </c>
      <c r="J507" t="str">
        <f>HYPERLINK("https://climate.onebuilding.org/WMO_Region_4_North_and_Central_America/GTM_Guatemala/ES_Escuintla/GTM_ES_Puerto.San.Jose-San.Jose.AP.786470_TMYx.2009-2023.zip")</f>
        <v>https://climate.onebuilding.org/WMO_Region_4_North_and_Central_America/GTM_Guatemala/ES_Escuintla/GTM_ES_Puerto.San.Jose-San.Jose.AP.786470_TMYx.2009-2023.zip</v>
      </c>
    </row>
    <row r="508" spans="1:10" x14ac:dyDescent="0.25">
      <c r="A508" t="s">
        <v>282</v>
      </c>
      <c r="B508" t="s">
        <v>316</v>
      </c>
      <c r="C508" t="s">
        <v>317</v>
      </c>
      <c r="D508">
        <v>786470</v>
      </c>
      <c r="E508" t="s">
        <v>10</v>
      </c>
      <c r="F508">
        <v>13.936</v>
      </c>
      <c r="G508">
        <v>-90.835999999999999</v>
      </c>
      <c r="H508">
        <v>-6</v>
      </c>
      <c r="I508">
        <v>8.8000000000000007</v>
      </c>
      <c r="J508" t="str">
        <f>HYPERLINK("https://climate.onebuilding.org/WMO_Region_4_North_and_Central_America/GTM_Guatemala/ES_Escuintla/GTM_ES_Puerto.San.Jose-San.Jose.AP.786470_TMYx.zip")</f>
        <v>https://climate.onebuilding.org/WMO_Region_4_North_and_Central_America/GTM_Guatemala/ES_Escuintla/GTM_ES_Puerto.San.Jose-San.Jose.AP.786470_TMYx.zip</v>
      </c>
    </row>
    <row r="509" spans="1:10" x14ac:dyDescent="0.25">
      <c r="A509" t="s">
        <v>282</v>
      </c>
      <c r="B509" t="s">
        <v>290</v>
      </c>
      <c r="C509" t="s">
        <v>319</v>
      </c>
      <c r="D509">
        <v>786475</v>
      </c>
      <c r="E509" t="s">
        <v>320</v>
      </c>
      <c r="F509">
        <v>14.866</v>
      </c>
      <c r="G509">
        <v>-91.501999999999995</v>
      </c>
      <c r="H509">
        <v>-6</v>
      </c>
      <c r="I509">
        <v>2431</v>
      </c>
      <c r="J509" t="str">
        <f>HYPERLINK("https://climate.onebuilding.org/WMO_Region_4_North_and_Central_America/GTM_Guatemala/QZ_Quetzaltenango/GTM_QZ_Quezaltenango.AP.786475_TMYx.2004-2018.zip")</f>
        <v>https://climate.onebuilding.org/WMO_Region_4_North_and_Central_America/GTM_Guatemala/QZ_Quetzaltenango/GTM_QZ_Quezaltenango.AP.786475_TMYx.2004-2018.zip</v>
      </c>
    </row>
    <row r="510" spans="1:10" x14ac:dyDescent="0.25">
      <c r="A510" t="s">
        <v>282</v>
      </c>
      <c r="B510" t="s">
        <v>290</v>
      </c>
      <c r="C510" t="s">
        <v>319</v>
      </c>
      <c r="D510">
        <v>786475</v>
      </c>
      <c r="E510" t="s">
        <v>10</v>
      </c>
      <c r="F510">
        <v>14.866</v>
      </c>
      <c r="G510">
        <v>-91.501999999999995</v>
      </c>
      <c r="H510">
        <v>-6</v>
      </c>
      <c r="I510">
        <v>2431</v>
      </c>
      <c r="J510" t="str">
        <f>HYPERLINK("https://climate.onebuilding.org/WMO_Region_4_North_and_Central_America/GTM_Guatemala/QZ_Quetzaltenango/GTM_QZ_Quezaltenango.AP.786475_TMYx.2007-2021.zip")</f>
        <v>https://climate.onebuilding.org/WMO_Region_4_North_and_Central_America/GTM_Guatemala/QZ_Quetzaltenango/GTM_QZ_Quezaltenango.AP.786475_TMYx.2007-2021.zip</v>
      </c>
    </row>
    <row r="511" spans="1:10" x14ac:dyDescent="0.25">
      <c r="A511" t="s">
        <v>282</v>
      </c>
      <c r="B511" t="s">
        <v>290</v>
      </c>
      <c r="C511" t="s">
        <v>319</v>
      </c>
      <c r="D511">
        <v>786475</v>
      </c>
      <c r="E511" t="s">
        <v>10</v>
      </c>
      <c r="F511">
        <v>14.866</v>
      </c>
      <c r="G511">
        <v>-91.501999999999995</v>
      </c>
      <c r="H511">
        <v>-6</v>
      </c>
      <c r="I511">
        <v>2431</v>
      </c>
      <c r="J511" t="str">
        <f>HYPERLINK("https://climate.onebuilding.org/WMO_Region_4_North_and_Central_America/GTM_Guatemala/QZ_Quetzaltenango/GTM_QZ_Quezaltenango.AP.786475_TMYx.2009-2023.zip")</f>
        <v>https://climate.onebuilding.org/WMO_Region_4_North_and_Central_America/GTM_Guatemala/QZ_Quetzaltenango/GTM_QZ_Quezaltenango.AP.786475_TMYx.2009-2023.zip</v>
      </c>
    </row>
    <row r="512" spans="1:10" x14ac:dyDescent="0.25">
      <c r="A512" t="s">
        <v>282</v>
      </c>
      <c r="B512" t="s">
        <v>290</v>
      </c>
      <c r="C512" t="s">
        <v>319</v>
      </c>
      <c r="D512">
        <v>786475</v>
      </c>
      <c r="E512" t="s">
        <v>10</v>
      </c>
      <c r="F512">
        <v>14.866</v>
      </c>
      <c r="G512">
        <v>-91.501999999999995</v>
      </c>
      <c r="H512">
        <v>-6</v>
      </c>
      <c r="I512">
        <v>2431</v>
      </c>
      <c r="J512" t="str">
        <f>HYPERLINK("https://climate.onebuilding.org/WMO_Region_4_North_and_Central_America/GTM_Guatemala/QZ_Quetzaltenango/GTM_QZ_Quezaltenango.AP.786475_TMYx.zip")</f>
        <v>https://climate.onebuilding.org/WMO_Region_4_North_and_Central_America/GTM_Guatemala/QZ_Quetzaltenango/GTM_QZ_Quezaltenango.AP.786475_TMYx.zip</v>
      </c>
    </row>
    <row r="513" spans="1:10" x14ac:dyDescent="0.25">
      <c r="A513" t="s">
        <v>321</v>
      </c>
      <c r="B513" t="s">
        <v>322</v>
      </c>
      <c r="C513" t="s">
        <v>323</v>
      </c>
      <c r="D513">
        <v>785010</v>
      </c>
      <c r="E513" t="s">
        <v>10</v>
      </c>
      <c r="F513">
        <v>17.407</v>
      </c>
      <c r="G513">
        <v>-83.933000000000007</v>
      </c>
      <c r="H513">
        <v>-6</v>
      </c>
      <c r="I513">
        <v>2</v>
      </c>
      <c r="J513" t="str">
        <f>HYPERLINK("https://climate.onebuilding.org/WMO_Region_4_North_and_Central_America/HND_Honduras/IB_Islas_de_la_Bahia/HND_IB_Swan.Islands-Islas.del.Cisne.AP.785010_TMYx.zip")</f>
        <v>https://climate.onebuilding.org/WMO_Region_4_North_and_Central_America/HND_Honduras/IB_Islas_de_la_Bahia/HND_IB_Swan.Islands-Islas.del.Cisne.AP.785010_TMYx.zip</v>
      </c>
    </row>
    <row r="514" spans="1:10" x14ac:dyDescent="0.25">
      <c r="A514" t="s">
        <v>321</v>
      </c>
      <c r="B514" t="s">
        <v>324</v>
      </c>
      <c r="C514" t="s">
        <v>325</v>
      </c>
      <c r="D514">
        <v>787000</v>
      </c>
      <c r="E514" t="s">
        <v>326</v>
      </c>
      <c r="F514">
        <v>13.282999999999999</v>
      </c>
      <c r="G514">
        <v>-87.667000000000002</v>
      </c>
      <c r="H514">
        <v>-6</v>
      </c>
      <c r="I514">
        <v>5</v>
      </c>
      <c r="J514" t="str">
        <f>HYPERLINK("https://climate.onebuilding.org/WMO_Region_4_North_and_Central_America/HND_Honduras/VA_Valle/HND_VA_Amapala.787000_TMYx.2004-2018.zip")</f>
        <v>https://climate.onebuilding.org/WMO_Region_4_North_and_Central_America/HND_Honduras/VA_Valle/HND_VA_Amapala.787000_TMYx.2004-2018.zip</v>
      </c>
    </row>
    <row r="515" spans="1:10" x14ac:dyDescent="0.25">
      <c r="A515" t="s">
        <v>321</v>
      </c>
      <c r="B515" t="s">
        <v>324</v>
      </c>
      <c r="C515" t="s">
        <v>325</v>
      </c>
      <c r="D515">
        <v>787000</v>
      </c>
      <c r="E515" t="s">
        <v>10</v>
      </c>
      <c r="F515">
        <v>13.282999999999999</v>
      </c>
      <c r="G515">
        <v>-87.667000000000002</v>
      </c>
      <c r="H515">
        <v>-6</v>
      </c>
      <c r="I515">
        <v>5</v>
      </c>
      <c r="J515" t="str">
        <f>HYPERLINK("https://climate.onebuilding.org/WMO_Region_4_North_and_Central_America/HND_Honduras/VA_Valle/HND_VA_Amapala.787000_TMYx.2007-2021.zip")</f>
        <v>https://climate.onebuilding.org/WMO_Region_4_North_and_Central_America/HND_Honduras/VA_Valle/HND_VA_Amapala.787000_TMYx.2007-2021.zip</v>
      </c>
    </row>
    <row r="516" spans="1:10" x14ac:dyDescent="0.25">
      <c r="A516" t="s">
        <v>321</v>
      </c>
      <c r="B516" t="s">
        <v>324</v>
      </c>
      <c r="C516" t="s">
        <v>325</v>
      </c>
      <c r="D516">
        <v>787000</v>
      </c>
      <c r="E516" t="s">
        <v>10</v>
      </c>
      <c r="F516">
        <v>13.282999999999999</v>
      </c>
      <c r="G516">
        <v>-87.667000000000002</v>
      </c>
      <c r="H516">
        <v>-6</v>
      </c>
      <c r="I516">
        <v>5</v>
      </c>
      <c r="J516" t="str">
        <f>HYPERLINK("https://climate.onebuilding.org/WMO_Region_4_North_and_Central_America/HND_Honduras/VA_Valle/HND_VA_Amapala.787000_TMYx.2009-2023.zip")</f>
        <v>https://climate.onebuilding.org/WMO_Region_4_North_and_Central_America/HND_Honduras/VA_Valle/HND_VA_Amapala.787000_TMYx.2009-2023.zip</v>
      </c>
    </row>
    <row r="517" spans="1:10" x14ac:dyDescent="0.25">
      <c r="A517" t="s">
        <v>321</v>
      </c>
      <c r="B517" t="s">
        <v>324</v>
      </c>
      <c r="C517" t="s">
        <v>325</v>
      </c>
      <c r="D517">
        <v>787000</v>
      </c>
      <c r="E517" t="s">
        <v>10</v>
      </c>
      <c r="F517">
        <v>13.282999999999999</v>
      </c>
      <c r="G517">
        <v>-87.667000000000002</v>
      </c>
      <c r="H517">
        <v>-6</v>
      </c>
      <c r="I517">
        <v>5</v>
      </c>
      <c r="J517" t="str">
        <f>HYPERLINK("https://climate.onebuilding.org/WMO_Region_4_North_and_Central_America/HND_Honduras/VA_Valle/HND_VA_Amapala.787000_TMYx.zip")</f>
        <v>https://climate.onebuilding.org/WMO_Region_4_North_and_Central_America/HND_Honduras/VA_Valle/HND_VA_Amapala.787000_TMYx.zip</v>
      </c>
    </row>
    <row r="518" spans="1:10" x14ac:dyDescent="0.25">
      <c r="A518" t="s">
        <v>321</v>
      </c>
      <c r="B518" t="s">
        <v>322</v>
      </c>
      <c r="C518" t="s">
        <v>327</v>
      </c>
      <c r="D518">
        <v>787010</v>
      </c>
      <c r="E518" t="s">
        <v>10</v>
      </c>
      <c r="F518">
        <v>16.445</v>
      </c>
      <c r="G518">
        <v>-85.906999999999996</v>
      </c>
      <c r="H518">
        <v>-6</v>
      </c>
      <c r="I518">
        <v>14.9</v>
      </c>
      <c r="J518" t="str">
        <f>HYPERLINK("https://climate.onebuilding.org/WMO_Region_4_North_and_Central_America/HND_Honduras/IB_Islas_de_la_Bahia/HND_IB_Guanaja.AP.787010_TMYx.zip")</f>
        <v>https://climate.onebuilding.org/WMO_Region_4_North_and_Central_America/HND_Honduras/IB_Islas_de_la_Bahia/HND_IB_Guanaja.AP.787010_TMYx.zip</v>
      </c>
    </row>
    <row r="519" spans="1:10" x14ac:dyDescent="0.25">
      <c r="A519" t="s">
        <v>321</v>
      </c>
      <c r="B519" t="s">
        <v>322</v>
      </c>
      <c r="C519" t="s">
        <v>328</v>
      </c>
      <c r="D519">
        <v>787013</v>
      </c>
      <c r="E519" t="s">
        <v>329</v>
      </c>
      <c r="F519">
        <v>16.466999999999999</v>
      </c>
      <c r="G519">
        <v>-85.9</v>
      </c>
      <c r="H519">
        <v>-6</v>
      </c>
      <c r="I519">
        <v>2</v>
      </c>
      <c r="J519" t="str">
        <f>HYPERLINK("https://climate.onebuilding.org/WMO_Region_4_North_and_Central_America/HND_Honduras/IB_Islas_de_la_Bahia/HND_IB_Guanaja.Island.787013_TMYx.2004-2018.zip")</f>
        <v>https://climate.onebuilding.org/WMO_Region_4_North_and_Central_America/HND_Honduras/IB_Islas_de_la_Bahia/HND_IB_Guanaja.Island.787013_TMYx.2004-2018.zip</v>
      </c>
    </row>
    <row r="520" spans="1:10" x14ac:dyDescent="0.25">
      <c r="A520" t="s">
        <v>321</v>
      </c>
      <c r="B520" t="s">
        <v>322</v>
      </c>
      <c r="C520" t="s">
        <v>328</v>
      </c>
      <c r="D520">
        <v>787013</v>
      </c>
      <c r="E520" t="s">
        <v>10</v>
      </c>
      <c r="F520">
        <v>16.466999999999999</v>
      </c>
      <c r="G520">
        <v>-85.9</v>
      </c>
      <c r="H520">
        <v>-6</v>
      </c>
      <c r="I520">
        <v>2</v>
      </c>
      <c r="J520" t="str">
        <f>HYPERLINK("https://climate.onebuilding.org/WMO_Region_4_North_and_Central_America/HND_Honduras/IB_Islas_de_la_Bahia/HND_IB_Guanaja.Island.787013_TMYx.2007-2021.zip")</f>
        <v>https://climate.onebuilding.org/WMO_Region_4_North_and_Central_America/HND_Honduras/IB_Islas_de_la_Bahia/HND_IB_Guanaja.Island.787013_TMYx.2007-2021.zip</v>
      </c>
    </row>
    <row r="521" spans="1:10" x14ac:dyDescent="0.25">
      <c r="A521" t="s">
        <v>321</v>
      </c>
      <c r="B521" t="s">
        <v>322</v>
      </c>
      <c r="C521" t="s">
        <v>328</v>
      </c>
      <c r="D521">
        <v>787013</v>
      </c>
      <c r="E521" t="s">
        <v>10</v>
      </c>
      <c r="F521">
        <v>16.466999999999999</v>
      </c>
      <c r="G521">
        <v>-85.9</v>
      </c>
      <c r="H521">
        <v>-6</v>
      </c>
      <c r="I521">
        <v>2</v>
      </c>
      <c r="J521" t="str">
        <f>HYPERLINK("https://climate.onebuilding.org/WMO_Region_4_North_and_Central_America/HND_Honduras/IB_Islas_de_la_Bahia/HND_IB_Guanaja.Island.787013_TMYx.2009-2023.zip")</f>
        <v>https://climate.onebuilding.org/WMO_Region_4_North_and_Central_America/HND_Honduras/IB_Islas_de_la_Bahia/HND_IB_Guanaja.Island.787013_TMYx.2009-2023.zip</v>
      </c>
    </row>
    <row r="522" spans="1:10" x14ac:dyDescent="0.25">
      <c r="A522" t="s">
        <v>321</v>
      </c>
      <c r="B522" t="s">
        <v>322</v>
      </c>
      <c r="C522" t="s">
        <v>328</v>
      </c>
      <c r="D522">
        <v>787013</v>
      </c>
      <c r="E522" t="s">
        <v>10</v>
      </c>
      <c r="F522">
        <v>16.466999999999999</v>
      </c>
      <c r="G522">
        <v>-85.9</v>
      </c>
      <c r="H522">
        <v>-6</v>
      </c>
      <c r="I522">
        <v>2</v>
      </c>
      <c r="J522" t="str">
        <f>HYPERLINK("https://climate.onebuilding.org/WMO_Region_4_North_and_Central_America/HND_Honduras/IB_Islas_de_la_Bahia/HND_IB_Guanaja.Island.787013_TMYx.zip")</f>
        <v>https://climate.onebuilding.org/WMO_Region_4_North_and_Central_America/HND_Honduras/IB_Islas_de_la_Bahia/HND_IB_Guanaja.Island.787013_TMYx.zip</v>
      </c>
    </row>
    <row r="523" spans="1:10" x14ac:dyDescent="0.25">
      <c r="A523" t="s">
        <v>321</v>
      </c>
      <c r="B523" t="s">
        <v>322</v>
      </c>
      <c r="C523" t="s">
        <v>330</v>
      </c>
      <c r="D523">
        <v>787030</v>
      </c>
      <c r="E523" t="s">
        <v>10</v>
      </c>
      <c r="F523">
        <v>16.3</v>
      </c>
      <c r="G523">
        <v>7</v>
      </c>
      <c r="H523">
        <v>-6</v>
      </c>
      <c r="I523">
        <v>3</v>
      </c>
      <c r="J523" t="str">
        <f>HYPERLINK("https://climate.onebuilding.org/WMO_Region_4_North_and_Central_America/HND_Honduras/IB_Islas_de_la_Bahia/HND_IB_Roatan-Galvez.Intl.AP.787030_TMYx.2007-2021.zip")</f>
        <v>https://climate.onebuilding.org/WMO_Region_4_North_and_Central_America/HND_Honduras/IB_Islas_de_la_Bahia/HND_IB_Roatan-Galvez.Intl.AP.787030_TMYx.2007-2021.zip</v>
      </c>
    </row>
    <row r="524" spans="1:10" x14ac:dyDescent="0.25">
      <c r="A524" t="s">
        <v>321</v>
      </c>
      <c r="B524" t="s">
        <v>322</v>
      </c>
      <c r="C524" t="s">
        <v>330</v>
      </c>
      <c r="D524">
        <v>787030</v>
      </c>
      <c r="E524" t="s">
        <v>10</v>
      </c>
      <c r="F524">
        <v>16.3</v>
      </c>
      <c r="G524">
        <v>7</v>
      </c>
      <c r="H524">
        <v>-6</v>
      </c>
      <c r="I524">
        <v>3</v>
      </c>
      <c r="J524" t="str">
        <f>HYPERLINK("https://climate.onebuilding.org/WMO_Region_4_North_and_Central_America/HND_Honduras/IB_Islas_de_la_Bahia/HND_IB_Roatan-Galvez.Intl.AP.787030_TMYx.2009-2023.zip")</f>
        <v>https://climate.onebuilding.org/WMO_Region_4_North_and_Central_America/HND_Honduras/IB_Islas_de_la_Bahia/HND_IB_Roatan-Galvez.Intl.AP.787030_TMYx.2009-2023.zip</v>
      </c>
    </row>
    <row r="525" spans="1:10" x14ac:dyDescent="0.25">
      <c r="A525" t="s">
        <v>321</v>
      </c>
      <c r="B525" t="s">
        <v>322</v>
      </c>
      <c r="C525" t="s">
        <v>330</v>
      </c>
      <c r="D525">
        <v>787030</v>
      </c>
      <c r="E525" t="s">
        <v>10</v>
      </c>
      <c r="F525">
        <v>16.3</v>
      </c>
      <c r="G525">
        <v>7</v>
      </c>
      <c r="H525">
        <v>-6</v>
      </c>
      <c r="I525">
        <v>3</v>
      </c>
      <c r="J525" t="str">
        <f>HYPERLINK("https://climate.onebuilding.org/WMO_Region_4_North_and_Central_America/HND_Honduras/IB_Islas_de_la_Bahia/HND_IB_Roatan-Galvez.Intl.AP.787030_TMYx.zip")</f>
        <v>https://climate.onebuilding.org/WMO_Region_4_North_and_Central_America/HND_Honduras/IB_Islas_de_la_Bahia/HND_IB_Roatan-Galvez.Intl.AP.787030_TMYx.zip</v>
      </c>
    </row>
    <row r="526" spans="1:10" x14ac:dyDescent="0.25">
      <c r="A526" t="s">
        <v>321</v>
      </c>
      <c r="B526" t="s">
        <v>331</v>
      </c>
      <c r="C526" t="s">
        <v>332</v>
      </c>
      <c r="D526">
        <v>787040</v>
      </c>
      <c r="E526" t="s">
        <v>333</v>
      </c>
      <c r="F526">
        <v>15.93</v>
      </c>
      <c r="G526">
        <v>-85.93</v>
      </c>
      <c r="H526">
        <v>-6</v>
      </c>
      <c r="I526">
        <v>3</v>
      </c>
      <c r="J526" t="str">
        <f>HYPERLINK("https://climate.onebuilding.org/WMO_Region_4_North_and_Central_America/HND_Honduras/CL_Colon/HND_CL_Trujillo.AP.787040_TMYx.2004-2018.zip")</f>
        <v>https://climate.onebuilding.org/WMO_Region_4_North_and_Central_America/HND_Honduras/CL_Colon/HND_CL_Trujillo.AP.787040_TMYx.2004-2018.zip</v>
      </c>
    </row>
    <row r="527" spans="1:10" x14ac:dyDescent="0.25">
      <c r="A527" t="s">
        <v>321</v>
      </c>
      <c r="B527" t="s">
        <v>331</v>
      </c>
      <c r="C527" t="s">
        <v>332</v>
      </c>
      <c r="D527">
        <v>787040</v>
      </c>
      <c r="E527" t="s">
        <v>10</v>
      </c>
      <c r="F527">
        <v>15.93</v>
      </c>
      <c r="G527">
        <v>-85.93</v>
      </c>
      <c r="H527">
        <v>-6</v>
      </c>
      <c r="I527">
        <v>3</v>
      </c>
      <c r="J527" t="str">
        <f>HYPERLINK("https://climate.onebuilding.org/WMO_Region_4_North_and_Central_America/HND_Honduras/CL_Colon/HND_CL_Trujillo.AP.787040_TMYx.2007-2021.zip")</f>
        <v>https://climate.onebuilding.org/WMO_Region_4_North_and_Central_America/HND_Honduras/CL_Colon/HND_CL_Trujillo.AP.787040_TMYx.2007-2021.zip</v>
      </c>
    </row>
    <row r="528" spans="1:10" x14ac:dyDescent="0.25">
      <c r="A528" t="s">
        <v>321</v>
      </c>
      <c r="B528" t="s">
        <v>331</v>
      </c>
      <c r="C528" t="s">
        <v>332</v>
      </c>
      <c r="D528">
        <v>787040</v>
      </c>
      <c r="E528" t="s">
        <v>10</v>
      </c>
      <c r="F528">
        <v>15.93</v>
      </c>
      <c r="G528">
        <v>-85.93</v>
      </c>
      <c r="H528">
        <v>-6</v>
      </c>
      <c r="I528">
        <v>3</v>
      </c>
      <c r="J528" t="str">
        <f>HYPERLINK("https://climate.onebuilding.org/WMO_Region_4_North_and_Central_America/HND_Honduras/CL_Colon/HND_CL_Trujillo.AP.787040_TMYx.2009-2023.zip")</f>
        <v>https://climate.onebuilding.org/WMO_Region_4_North_and_Central_America/HND_Honduras/CL_Colon/HND_CL_Trujillo.AP.787040_TMYx.2009-2023.zip</v>
      </c>
    </row>
    <row r="529" spans="1:10" x14ac:dyDescent="0.25">
      <c r="A529" t="s">
        <v>321</v>
      </c>
      <c r="B529" t="s">
        <v>331</v>
      </c>
      <c r="C529" t="s">
        <v>332</v>
      </c>
      <c r="D529">
        <v>787040</v>
      </c>
      <c r="E529" t="s">
        <v>10</v>
      </c>
      <c r="F529">
        <v>15.93</v>
      </c>
      <c r="G529">
        <v>-85.93</v>
      </c>
      <c r="H529">
        <v>-6</v>
      </c>
      <c r="I529">
        <v>3</v>
      </c>
      <c r="J529" t="str">
        <f>HYPERLINK("https://climate.onebuilding.org/WMO_Region_4_North_and_Central_America/HND_Honduras/CL_Colon/HND_CL_Trujillo.AP.787040_TMYx.zip")</f>
        <v>https://climate.onebuilding.org/WMO_Region_4_North_and_Central_America/HND_Honduras/CL_Colon/HND_CL_Trujillo.AP.787040_TMYx.zip</v>
      </c>
    </row>
    <row r="530" spans="1:10" x14ac:dyDescent="0.25">
      <c r="A530" t="s">
        <v>321</v>
      </c>
      <c r="B530" t="s">
        <v>334</v>
      </c>
      <c r="C530" t="s">
        <v>335</v>
      </c>
      <c r="D530">
        <v>787050</v>
      </c>
      <c r="E530" t="s">
        <v>336</v>
      </c>
      <c r="F530">
        <v>15.742000000000001</v>
      </c>
      <c r="G530">
        <v>-86.852999999999994</v>
      </c>
      <c r="H530">
        <v>-6</v>
      </c>
      <c r="I530">
        <v>14.9</v>
      </c>
      <c r="J530" t="str">
        <f>HYPERLINK("https://climate.onebuilding.org/WMO_Region_4_North_and_Central_America/HND_Honduras/AT_Atlantida/HND_AT_La.Ceiba-Goloson.Intl.AP.787050_TMYx.2004-2018.zip")</f>
        <v>https://climate.onebuilding.org/WMO_Region_4_North_and_Central_America/HND_Honduras/AT_Atlantida/HND_AT_La.Ceiba-Goloson.Intl.AP.787050_TMYx.2004-2018.zip</v>
      </c>
    </row>
    <row r="531" spans="1:10" x14ac:dyDescent="0.25">
      <c r="A531" t="s">
        <v>321</v>
      </c>
      <c r="B531" t="s">
        <v>334</v>
      </c>
      <c r="C531" t="s">
        <v>335</v>
      </c>
      <c r="D531">
        <v>787050</v>
      </c>
      <c r="E531" t="s">
        <v>10</v>
      </c>
      <c r="F531">
        <v>15.742000000000001</v>
      </c>
      <c r="G531">
        <v>-86.852999999999994</v>
      </c>
      <c r="H531">
        <v>-6</v>
      </c>
      <c r="I531">
        <v>14.9</v>
      </c>
      <c r="J531" t="str">
        <f>HYPERLINK("https://climate.onebuilding.org/WMO_Region_4_North_and_Central_America/HND_Honduras/AT_Atlantida/HND_AT_La.Ceiba-Goloson.Intl.AP.787050_TMYx.2007-2021.zip")</f>
        <v>https://climate.onebuilding.org/WMO_Region_4_North_and_Central_America/HND_Honduras/AT_Atlantida/HND_AT_La.Ceiba-Goloson.Intl.AP.787050_TMYx.2007-2021.zip</v>
      </c>
    </row>
    <row r="532" spans="1:10" x14ac:dyDescent="0.25">
      <c r="A532" t="s">
        <v>321</v>
      </c>
      <c r="B532" t="s">
        <v>334</v>
      </c>
      <c r="C532" t="s">
        <v>335</v>
      </c>
      <c r="D532">
        <v>787050</v>
      </c>
      <c r="E532" t="s">
        <v>10</v>
      </c>
      <c r="F532">
        <v>15.742000000000001</v>
      </c>
      <c r="G532">
        <v>-86.852999999999994</v>
      </c>
      <c r="H532">
        <v>-6</v>
      </c>
      <c r="I532">
        <v>14.9</v>
      </c>
      <c r="J532" t="str">
        <f>HYPERLINK("https://climate.onebuilding.org/WMO_Region_4_North_and_Central_America/HND_Honduras/AT_Atlantida/HND_AT_La.Ceiba-Goloson.Intl.AP.787050_TMYx.2009-2023.zip")</f>
        <v>https://climate.onebuilding.org/WMO_Region_4_North_and_Central_America/HND_Honduras/AT_Atlantida/HND_AT_La.Ceiba-Goloson.Intl.AP.787050_TMYx.2009-2023.zip</v>
      </c>
    </row>
    <row r="533" spans="1:10" x14ac:dyDescent="0.25">
      <c r="A533" t="s">
        <v>321</v>
      </c>
      <c r="B533" t="s">
        <v>334</v>
      </c>
      <c r="C533" t="s">
        <v>335</v>
      </c>
      <c r="D533">
        <v>787050</v>
      </c>
      <c r="E533" t="s">
        <v>10</v>
      </c>
      <c r="F533">
        <v>15.742000000000001</v>
      </c>
      <c r="G533">
        <v>-86.852999999999994</v>
      </c>
      <c r="H533">
        <v>-6</v>
      </c>
      <c r="I533">
        <v>14.9</v>
      </c>
      <c r="J533" t="str">
        <f>HYPERLINK("https://climate.onebuilding.org/WMO_Region_4_North_and_Central_America/HND_Honduras/AT_Atlantida/HND_AT_La.Ceiba-Goloson.Intl.AP.787050_TMYx.zip")</f>
        <v>https://climate.onebuilding.org/WMO_Region_4_North_and_Central_America/HND_Honduras/AT_Atlantida/HND_AT_La.Ceiba-Goloson.Intl.AP.787050_TMYx.zip</v>
      </c>
    </row>
    <row r="534" spans="1:10" x14ac:dyDescent="0.25">
      <c r="A534" t="s">
        <v>321</v>
      </c>
      <c r="B534" t="s">
        <v>334</v>
      </c>
      <c r="C534" t="s">
        <v>337</v>
      </c>
      <c r="D534">
        <v>787060</v>
      </c>
      <c r="E534" t="s">
        <v>338</v>
      </c>
      <c r="F534">
        <v>15.776</v>
      </c>
      <c r="G534">
        <v>-87.475999999999999</v>
      </c>
      <c r="H534">
        <v>-6</v>
      </c>
      <c r="I534">
        <v>2.1</v>
      </c>
      <c r="J534" t="str">
        <f>HYPERLINK("https://climate.onebuilding.org/WMO_Region_4_North_and_Central_America/HND_Honduras/AT_Atlantida/HND_AT_Tela.AP.787060_TMYx.2004-2018.zip")</f>
        <v>https://climate.onebuilding.org/WMO_Region_4_North_and_Central_America/HND_Honduras/AT_Atlantida/HND_AT_Tela.AP.787060_TMYx.2004-2018.zip</v>
      </c>
    </row>
    <row r="535" spans="1:10" x14ac:dyDescent="0.25">
      <c r="A535" t="s">
        <v>321</v>
      </c>
      <c r="B535" t="s">
        <v>334</v>
      </c>
      <c r="C535" t="s">
        <v>337</v>
      </c>
      <c r="D535">
        <v>787060</v>
      </c>
      <c r="E535" t="s">
        <v>10</v>
      </c>
      <c r="F535">
        <v>15.776</v>
      </c>
      <c r="G535">
        <v>-87.475999999999999</v>
      </c>
      <c r="H535">
        <v>-6</v>
      </c>
      <c r="I535">
        <v>2.1</v>
      </c>
      <c r="J535" t="str">
        <f>HYPERLINK("https://climate.onebuilding.org/WMO_Region_4_North_and_Central_America/HND_Honduras/AT_Atlantida/HND_AT_Tela.AP.787060_TMYx.2007-2021.zip")</f>
        <v>https://climate.onebuilding.org/WMO_Region_4_North_and_Central_America/HND_Honduras/AT_Atlantida/HND_AT_Tela.AP.787060_TMYx.2007-2021.zip</v>
      </c>
    </row>
    <row r="536" spans="1:10" x14ac:dyDescent="0.25">
      <c r="A536" t="s">
        <v>321</v>
      </c>
      <c r="B536" t="s">
        <v>334</v>
      </c>
      <c r="C536" t="s">
        <v>337</v>
      </c>
      <c r="D536">
        <v>787060</v>
      </c>
      <c r="E536" t="s">
        <v>10</v>
      </c>
      <c r="F536">
        <v>15.776</v>
      </c>
      <c r="G536">
        <v>-87.475999999999999</v>
      </c>
      <c r="H536">
        <v>-6</v>
      </c>
      <c r="I536">
        <v>2.1</v>
      </c>
      <c r="J536" t="str">
        <f>HYPERLINK("https://climate.onebuilding.org/WMO_Region_4_North_and_Central_America/HND_Honduras/AT_Atlantida/HND_AT_Tela.AP.787060_TMYx.2009-2023.zip")</f>
        <v>https://climate.onebuilding.org/WMO_Region_4_North_and_Central_America/HND_Honduras/AT_Atlantida/HND_AT_Tela.AP.787060_TMYx.2009-2023.zip</v>
      </c>
    </row>
    <row r="537" spans="1:10" x14ac:dyDescent="0.25">
      <c r="A537" t="s">
        <v>321</v>
      </c>
      <c r="B537" t="s">
        <v>334</v>
      </c>
      <c r="C537" t="s">
        <v>337</v>
      </c>
      <c r="D537">
        <v>787060</v>
      </c>
      <c r="E537" t="s">
        <v>10</v>
      </c>
      <c r="F537">
        <v>15.776</v>
      </c>
      <c r="G537">
        <v>-87.475999999999999</v>
      </c>
      <c r="H537">
        <v>-6</v>
      </c>
      <c r="I537">
        <v>2.1</v>
      </c>
      <c r="J537" t="str">
        <f>HYPERLINK("https://climate.onebuilding.org/WMO_Region_4_North_and_Central_America/HND_Honduras/AT_Atlantida/HND_AT_Tela.AP.787060_TMYx.zip")</f>
        <v>https://climate.onebuilding.org/WMO_Region_4_North_and_Central_America/HND_Honduras/AT_Atlantida/HND_AT_Tela.AP.787060_TMYx.zip</v>
      </c>
    </row>
    <row r="538" spans="1:10" x14ac:dyDescent="0.25">
      <c r="A538" t="s">
        <v>321</v>
      </c>
      <c r="B538" t="s">
        <v>339</v>
      </c>
      <c r="C538" t="s">
        <v>340</v>
      </c>
      <c r="D538">
        <v>787070</v>
      </c>
      <c r="E538" t="s">
        <v>341</v>
      </c>
      <c r="F538">
        <v>15.167</v>
      </c>
      <c r="G538">
        <v>-87.117000000000004</v>
      </c>
      <c r="H538">
        <v>-6</v>
      </c>
      <c r="I538">
        <v>670</v>
      </c>
      <c r="J538" t="str">
        <f>HYPERLINK("https://climate.onebuilding.org/WMO_Region_4_North_and_Central_America/HND_Honduras/YO_Yoro/HND_YO_Yoro.AP.787070_TMYx.2004-2018.zip")</f>
        <v>https://climate.onebuilding.org/WMO_Region_4_North_and_Central_America/HND_Honduras/YO_Yoro/HND_YO_Yoro.AP.787070_TMYx.2004-2018.zip</v>
      </c>
    </row>
    <row r="539" spans="1:10" x14ac:dyDescent="0.25">
      <c r="A539" t="s">
        <v>321</v>
      </c>
      <c r="B539" t="s">
        <v>339</v>
      </c>
      <c r="C539" t="s">
        <v>340</v>
      </c>
      <c r="D539">
        <v>787070</v>
      </c>
      <c r="E539" t="s">
        <v>10</v>
      </c>
      <c r="F539">
        <v>15.167</v>
      </c>
      <c r="G539">
        <v>-87.117000000000004</v>
      </c>
      <c r="H539">
        <v>-6</v>
      </c>
      <c r="I539">
        <v>670</v>
      </c>
      <c r="J539" t="str">
        <f>HYPERLINK("https://climate.onebuilding.org/WMO_Region_4_North_and_Central_America/HND_Honduras/YO_Yoro/HND_YO_Yoro.AP.787070_TMYx.2007-2021.zip")</f>
        <v>https://climate.onebuilding.org/WMO_Region_4_North_and_Central_America/HND_Honduras/YO_Yoro/HND_YO_Yoro.AP.787070_TMYx.2007-2021.zip</v>
      </c>
    </row>
    <row r="540" spans="1:10" x14ac:dyDescent="0.25">
      <c r="A540" t="s">
        <v>321</v>
      </c>
      <c r="B540" t="s">
        <v>339</v>
      </c>
      <c r="C540" t="s">
        <v>340</v>
      </c>
      <c r="D540">
        <v>787070</v>
      </c>
      <c r="E540" t="s">
        <v>10</v>
      </c>
      <c r="F540">
        <v>15.167</v>
      </c>
      <c r="G540">
        <v>-87.117000000000004</v>
      </c>
      <c r="H540">
        <v>-6</v>
      </c>
      <c r="I540">
        <v>670</v>
      </c>
      <c r="J540" t="str">
        <f>HYPERLINK("https://climate.onebuilding.org/WMO_Region_4_North_and_Central_America/HND_Honduras/YO_Yoro/HND_YO_Yoro.AP.787070_TMYx.2009-2023.zip")</f>
        <v>https://climate.onebuilding.org/WMO_Region_4_North_and_Central_America/HND_Honduras/YO_Yoro/HND_YO_Yoro.AP.787070_TMYx.2009-2023.zip</v>
      </c>
    </row>
    <row r="541" spans="1:10" x14ac:dyDescent="0.25">
      <c r="A541" t="s">
        <v>321</v>
      </c>
      <c r="B541" t="s">
        <v>339</v>
      </c>
      <c r="C541" t="s">
        <v>340</v>
      </c>
      <c r="D541">
        <v>787070</v>
      </c>
      <c r="E541" t="s">
        <v>10</v>
      </c>
      <c r="F541">
        <v>15.167</v>
      </c>
      <c r="G541">
        <v>-87.117000000000004</v>
      </c>
      <c r="H541">
        <v>-6</v>
      </c>
      <c r="I541">
        <v>670</v>
      </c>
      <c r="J541" t="str">
        <f>HYPERLINK("https://climate.onebuilding.org/WMO_Region_4_North_and_Central_America/HND_Honduras/YO_Yoro/HND_YO_Yoro.AP.787070_TMYx.zip")</f>
        <v>https://climate.onebuilding.org/WMO_Region_4_North_and_Central_America/HND_Honduras/YO_Yoro/HND_YO_Yoro.AP.787070_TMYx.zip</v>
      </c>
    </row>
    <row r="542" spans="1:10" x14ac:dyDescent="0.25">
      <c r="A542" t="s">
        <v>321</v>
      </c>
      <c r="B542" t="s">
        <v>342</v>
      </c>
      <c r="C542" t="s">
        <v>343</v>
      </c>
      <c r="D542">
        <v>787080</v>
      </c>
      <c r="E542" t="s">
        <v>344</v>
      </c>
      <c r="F542">
        <v>15.452999999999999</v>
      </c>
      <c r="G542">
        <v>-87.924000000000007</v>
      </c>
      <c r="H542">
        <v>-6</v>
      </c>
      <c r="I542">
        <v>27.7</v>
      </c>
      <c r="J542" t="str">
        <f>HYPERLINK("https://climate.onebuilding.org/WMO_Region_4_North_and_Central_America/HND_Honduras/CR_Cortes/HND_CR_La.Lima-Morales.Intl.AP.787080_TMYx.2004-2018.zip")</f>
        <v>https://climate.onebuilding.org/WMO_Region_4_North_and_Central_America/HND_Honduras/CR_Cortes/HND_CR_La.Lima-Morales.Intl.AP.787080_TMYx.2004-2018.zip</v>
      </c>
    </row>
    <row r="543" spans="1:10" x14ac:dyDescent="0.25">
      <c r="A543" t="s">
        <v>321</v>
      </c>
      <c r="B543" t="s">
        <v>342</v>
      </c>
      <c r="C543" t="s">
        <v>343</v>
      </c>
      <c r="D543">
        <v>787080</v>
      </c>
      <c r="E543" t="s">
        <v>10</v>
      </c>
      <c r="F543">
        <v>15.452999999999999</v>
      </c>
      <c r="G543">
        <v>-87.924000000000007</v>
      </c>
      <c r="H543">
        <v>-6</v>
      </c>
      <c r="I543">
        <v>27.7</v>
      </c>
      <c r="J543" t="str">
        <f>HYPERLINK("https://climate.onebuilding.org/WMO_Region_4_North_and_Central_America/HND_Honduras/CR_Cortes/HND_CR_La.Lima-Morales.Intl.AP.787080_TMYx.2007-2021.zip")</f>
        <v>https://climate.onebuilding.org/WMO_Region_4_North_and_Central_America/HND_Honduras/CR_Cortes/HND_CR_La.Lima-Morales.Intl.AP.787080_TMYx.2007-2021.zip</v>
      </c>
    </row>
    <row r="544" spans="1:10" x14ac:dyDescent="0.25">
      <c r="A544" t="s">
        <v>321</v>
      </c>
      <c r="B544" t="s">
        <v>342</v>
      </c>
      <c r="C544" t="s">
        <v>343</v>
      </c>
      <c r="D544">
        <v>787080</v>
      </c>
      <c r="E544" t="s">
        <v>10</v>
      </c>
      <c r="F544">
        <v>15.452999999999999</v>
      </c>
      <c r="G544">
        <v>-87.924000000000007</v>
      </c>
      <c r="H544">
        <v>-6</v>
      </c>
      <c r="I544">
        <v>27.7</v>
      </c>
      <c r="J544" t="str">
        <f>HYPERLINK("https://climate.onebuilding.org/WMO_Region_4_North_and_Central_America/HND_Honduras/CR_Cortes/HND_CR_La.Lima-Morales.Intl.AP.787080_TMYx.2009-2023.zip")</f>
        <v>https://climate.onebuilding.org/WMO_Region_4_North_and_Central_America/HND_Honduras/CR_Cortes/HND_CR_La.Lima-Morales.Intl.AP.787080_TMYx.2009-2023.zip</v>
      </c>
    </row>
    <row r="545" spans="1:10" x14ac:dyDescent="0.25">
      <c r="A545" t="s">
        <v>321</v>
      </c>
      <c r="B545" t="s">
        <v>342</v>
      </c>
      <c r="C545" t="s">
        <v>343</v>
      </c>
      <c r="D545">
        <v>787080</v>
      </c>
      <c r="E545" t="s">
        <v>10</v>
      </c>
      <c r="F545">
        <v>15.452999999999999</v>
      </c>
      <c r="G545">
        <v>-87.924000000000007</v>
      </c>
      <c r="H545">
        <v>-6</v>
      </c>
      <c r="I545">
        <v>27.7</v>
      </c>
      <c r="J545" t="str">
        <f>HYPERLINK("https://climate.onebuilding.org/WMO_Region_4_North_and_Central_America/HND_Honduras/CR_Cortes/HND_CR_La.Lima-Morales.Intl.AP.787080_TMYx.zip")</f>
        <v>https://climate.onebuilding.org/WMO_Region_4_North_and_Central_America/HND_Honduras/CR_Cortes/HND_CR_La.Lima-Morales.Intl.AP.787080_TMYx.zip</v>
      </c>
    </row>
    <row r="546" spans="1:10" x14ac:dyDescent="0.25">
      <c r="A546" t="s">
        <v>321</v>
      </c>
      <c r="B546" t="s">
        <v>345</v>
      </c>
      <c r="C546" t="s">
        <v>346</v>
      </c>
      <c r="D546">
        <v>787110</v>
      </c>
      <c r="E546" t="s">
        <v>347</v>
      </c>
      <c r="F546">
        <v>15.260999999999999</v>
      </c>
      <c r="G546">
        <v>-83.781000000000006</v>
      </c>
      <c r="H546">
        <v>-6</v>
      </c>
      <c r="I546">
        <v>8</v>
      </c>
      <c r="J546" t="str">
        <f>HYPERLINK("https://climate.onebuilding.org/WMO_Region_4_North_and_Central_America/HND_Honduras/GD_Gracias_a_Dios/HND_GD_Puerto.Lempira.AP.787110_TMYx.2004-2018.zip")</f>
        <v>https://climate.onebuilding.org/WMO_Region_4_North_and_Central_America/HND_Honduras/GD_Gracias_a_Dios/HND_GD_Puerto.Lempira.AP.787110_TMYx.2004-2018.zip</v>
      </c>
    </row>
    <row r="547" spans="1:10" x14ac:dyDescent="0.25">
      <c r="A547" t="s">
        <v>321</v>
      </c>
      <c r="B547" t="s">
        <v>345</v>
      </c>
      <c r="C547" t="s">
        <v>346</v>
      </c>
      <c r="D547">
        <v>787110</v>
      </c>
      <c r="E547" t="s">
        <v>10</v>
      </c>
      <c r="F547">
        <v>15.260999999999999</v>
      </c>
      <c r="G547">
        <v>-83.781000000000006</v>
      </c>
      <c r="H547">
        <v>-6</v>
      </c>
      <c r="I547">
        <v>8</v>
      </c>
      <c r="J547" t="str">
        <f>HYPERLINK("https://climate.onebuilding.org/WMO_Region_4_North_and_Central_America/HND_Honduras/GD_Gracias_a_Dios/HND_GD_Puerto.Lempira.AP.787110_TMYx.2007-2021.zip")</f>
        <v>https://climate.onebuilding.org/WMO_Region_4_North_and_Central_America/HND_Honduras/GD_Gracias_a_Dios/HND_GD_Puerto.Lempira.AP.787110_TMYx.2007-2021.zip</v>
      </c>
    </row>
    <row r="548" spans="1:10" x14ac:dyDescent="0.25">
      <c r="A548" t="s">
        <v>321</v>
      </c>
      <c r="B548" t="s">
        <v>345</v>
      </c>
      <c r="C548" t="s">
        <v>346</v>
      </c>
      <c r="D548">
        <v>787110</v>
      </c>
      <c r="E548" t="s">
        <v>10</v>
      </c>
      <c r="F548">
        <v>15.260999999999999</v>
      </c>
      <c r="G548">
        <v>-83.781000000000006</v>
      </c>
      <c r="H548">
        <v>-6</v>
      </c>
      <c r="I548">
        <v>8</v>
      </c>
      <c r="J548" t="str">
        <f>HYPERLINK("https://climate.onebuilding.org/WMO_Region_4_North_and_Central_America/HND_Honduras/GD_Gracias_a_Dios/HND_GD_Puerto.Lempira.AP.787110_TMYx.2009-2023.zip")</f>
        <v>https://climate.onebuilding.org/WMO_Region_4_North_and_Central_America/HND_Honduras/GD_Gracias_a_Dios/HND_GD_Puerto.Lempira.AP.787110_TMYx.2009-2023.zip</v>
      </c>
    </row>
    <row r="549" spans="1:10" x14ac:dyDescent="0.25">
      <c r="A549" t="s">
        <v>321</v>
      </c>
      <c r="B549" t="s">
        <v>345</v>
      </c>
      <c r="C549" t="s">
        <v>346</v>
      </c>
      <c r="D549">
        <v>787110</v>
      </c>
      <c r="E549" t="s">
        <v>10</v>
      </c>
      <c r="F549">
        <v>15.260999999999999</v>
      </c>
      <c r="G549">
        <v>-83.781000000000006</v>
      </c>
      <c r="H549">
        <v>-6</v>
      </c>
      <c r="I549">
        <v>8</v>
      </c>
      <c r="J549" t="str">
        <f>HYPERLINK("https://climate.onebuilding.org/WMO_Region_4_North_and_Central_America/HND_Honduras/GD_Gracias_a_Dios/HND_GD_Puerto.Lempira.AP.787110_TMYx.zip")</f>
        <v>https://climate.onebuilding.org/WMO_Region_4_North_and_Central_America/HND_Honduras/GD_Gracias_a_Dios/HND_GD_Puerto.Lempira.AP.787110_TMYx.zip</v>
      </c>
    </row>
    <row r="550" spans="1:10" x14ac:dyDescent="0.25">
      <c r="A550" t="s">
        <v>321</v>
      </c>
      <c r="B550" t="s">
        <v>348</v>
      </c>
      <c r="C550" t="s">
        <v>349</v>
      </c>
      <c r="D550">
        <v>787140</v>
      </c>
      <c r="E550" t="s">
        <v>350</v>
      </c>
      <c r="F550">
        <v>14.9</v>
      </c>
      <c r="G550">
        <v>-85.933000000000007</v>
      </c>
      <c r="H550">
        <v>-6</v>
      </c>
      <c r="I550">
        <v>442</v>
      </c>
      <c r="J550" t="str">
        <f>HYPERLINK("https://climate.onebuilding.org/WMO_Region_4_North_and_Central_America/HND_Honduras/OL_Olancho/HND_OL_Catacamas.787140_TMYx.2004-2018.zip")</f>
        <v>https://climate.onebuilding.org/WMO_Region_4_North_and_Central_America/HND_Honduras/OL_Olancho/HND_OL_Catacamas.787140_TMYx.2004-2018.zip</v>
      </c>
    </row>
    <row r="551" spans="1:10" x14ac:dyDescent="0.25">
      <c r="A551" t="s">
        <v>321</v>
      </c>
      <c r="B551" t="s">
        <v>348</v>
      </c>
      <c r="C551" t="s">
        <v>349</v>
      </c>
      <c r="D551">
        <v>787140</v>
      </c>
      <c r="E551" t="s">
        <v>10</v>
      </c>
      <c r="F551">
        <v>14.9</v>
      </c>
      <c r="G551">
        <v>-85.933000000000007</v>
      </c>
      <c r="H551">
        <v>-6</v>
      </c>
      <c r="I551">
        <v>442</v>
      </c>
      <c r="J551" t="str">
        <f>HYPERLINK("https://climate.onebuilding.org/WMO_Region_4_North_and_Central_America/HND_Honduras/OL_Olancho/HND_OL_Catacamas.787140_TMYx.2007-2021.zip")</f>
        <v>https://climate.onebuilding.org/WMO_Region_4_North_and_Central_America/HND_Honduras/OL_Olancho/HND_OL_Catacamas.787140_TMYx.2007-2021.zip</v>
      </c>
    </row>
    <row r="552" spans="1:10" x14ac:dyDescent="0.25">
      <c r="A552" t="s">
        <v>321</v>
      </c>
      <c r="B552" t="s">
        <v>348</v>
      </c>
      <c r="C552" t="s">
        <v>349</v>
      </c>
      <c r="D552">
        <v>787140</v>
      </c>
      <c r="E552" t="s">
        <v>10</v>
      </c>
      <c r="F552">
        <v>14.9</v>
      </c>
      <c r="G552">
        <v>-85.933000000000007</v>
      </c>
      <c r="H552">
        <v>-6</v>
      </c>
      <c r="I552">
        <v>442</v>
      </c>
      <c r="J552" t="str">
        <f>HYPERLINK("https://climate.onebuilding.org/WMO_Region_4_North_and_Central_America/HND_Honduras/OL_Olancho/HND_OL_Catacamas.787140_TMYx.2009-2023.zip")</f>
        <v>https://climate.onebuilding.org/WMO_Region_4_North_and_Central_America/HND_Honduras/OL_Olancho/HND_OL_Catacamas.787140_TMYx.2009-2023.zip</v>
      </c>
    </row>
    <row r="553" spans="1:10" x14ac:dyDescent="0.25">
      <c r="A553" t="s">
        <v>321</v>
      </c>
      <c r="B553" t="s">
        <v>348</v>
      </c>
      <c r="C553" t="s">
        <v>349</v>
      </c>
      <c r="D553">
        <v>787140</v>
      </c>
      <c r="E553" t="s">
        <v>10</v>
      </c>
      <c r="F553">
        <v>14.9</v>
      </c>
      <c r="G553">
        <v>-85.933000000000007</v>
      </c>
      <c r="H553">
        <v>-6</v>
      </c>
      <c r="I553">
        <v>442</v>
      </c>
      <c r="J553" t="str">
        <f>HYPERLINK("https://climate.onebuilding.org/WMO_Region_4_North_and_Central_America/HND_Honduras/OL_Olancho/HND_OL_Catacamas.787140_TMYx.zip")</f>
        <v>https://climate.onebuilding.org/WMO_Region_4_North_and_Central_America/HND_Honduras/OL_Olancho/HND_OL_Catacamas.787140_TMYx.zip</v>
      </c>
    </row>
    <row r="554" spans="1:10" x14ac:dyDescent="0.25">
      <c r="A554" t="s">
        <v>321</v>
      </c>
      <c r="B554" t="s">
        <v>351</v>
      </c>
      <c r="C554" t="s">
        <v>352</v>
      </c>
      <c r="D554">
        <v>787170</v>
      </c>
      <c r="E554" t="s">
        <v>353</v>
      </c>
      <c r="F554">
        <v>14.782999999999999</v>
      </c>
      <c r="G554">
        <v>-88.783000000000001</v>
      </c>
      <c r="H554">
        <v>-6</v>
      </c>
      <c r="I554">
        <v>1079</v>
      </c>
      <c r="J554" t="str">
        <f>HYPERLINK("https://climate.onebuilding.org/WMO_Region_4_North_and_Central_America/HND_Honduras/CP_Copan/HND_CP_Santa.Rosa.De.Copan.787170_TMYx.2004-2018.zip")</f>
        <v>https://climate.onebuilding.org/WMO_Region_4_North_and_Central_America/HND_Honduras/CP_Copan/HND_CP_Santa.Rosa.De.Copan.787170_TMYx.2004-2018.zip</v>
      </c>
    </row>
    <row r="555" spans="1:10" x14ac:dyDescent="0.25">
      <c r="A555" t="s">
        <v>321</v>
      </c>
      <c r="B555" t="s">
        <v>351</v>
      </c>
      <c r="C555" t="s">
        <v>352</v>
      </c>
      <c r="D555">
        <v>787170</v>
      </c>
      <c r="E555" t="s">
        <v>10</v>
      </c>
      <c r="F555">
        <v>14.782999999999999</v>
      </c>
      <c r="G555">
        <v>-88.783000000000001</v>
      </c>
      <c r="H555">
        <v>-6</v>
      </c>
      <c r="I555">
        <v>1079</v>
      </c>
      <c r="J555" t="str">
        <f>HYPERLINK("https://climate.onebuilding.org/WMO_Region_4_North_and_Central_America/HND_Honduras/CP_Copan/HND_CP_Santa.Rosa.De.Copan.787170_TMYx.2007-2021.zip")</f>
        <v>https://climate.onebuilding.org/WMO_Region_4_North_and_Central_America/HND_Honduras/CP_Copan/HND_CP_Santa.Rosa.De.Copan.787170_TMYx.2007-2021.zip</v>
      </c>
    </row>
    <row r="556" spans="1:10" x14ac:dyDescent="0.25">
      <c r="A556" t="s">
        <v>321</v>
      </c>
      <c r="B556" t="s">
        <v>351</v>
      </c>
      <c r="C556" t="s">
        <v>352</v>
      </c>
      <c r="D556">
        <v>787170</v>
      </c>
      <c r="E556" t="s">
        <v>10</v>
      </c>
      <c r="F556">
        <v>14.782999999999999</v>
      </c>
      <c r="G556">
        <v>-88.783000000000001</v>
      </c>
      <c r="H556">
        <v>-6</v>
      </c>
      <c r="I556">
        <v>1079</v>
      </c>
      <c r="J556" t="str">
        <f>HYPERLINK("https://climate.onebuilding.org/WMO_Region_4_North_and_Central_America/HND_Honduras/CP_Copan/HND_CP_Santa.Rosa.De.Copan.787170_TMYx.2009-2023.zip")</f>
        <v>https://climate.onebuilding.org/WMO_Region_4_North_and_Central_America/HND_Honduras/CP_Copan/HND_CP_Santa.Rosa.De.Copan.787170_TMYx.2009-2023.zip</v>
      </c>
    </row>
    <row r="557" spans="1:10" x14ac:dyDescent="0.25">
      <c r="A557" t="s">
        <v>321</v>
      </c>
      <c r="B557" t="s">
        <v>351</v>
      </c>
      <c r="C557" t="s">
        <v>352</v>
      </c>
      <c r="D557">
        <v>787170</v>
      </c>
      <c r="E557" t="s">
        <v>10</v>
      </c>
      <c r="F557">
        <v>14.782999999999999</v>
      </c>
      <c r="G557">
        <v>-88.783000000000001</v>
      </c>
      <c r="H557">
        <v>-6</v>
      </c>
      <c r="I557">
        <v>1079</v>
      </c>
      <c r="J557" t="str">
        <f>HYPERLINK("https://climate.onebuilding.org/WMO_Region_4_North_and_Central_America/HND_Honduras/CP_Copan/HND_CP_Santa.Rosa.De.Copan.787170_TMYx.zip")</f>
        <v>https://climate.onebuilding.org/WMO_Region_4_North_and_Central_America/HND_Honduras/CP_Copan/HND_CP_Santa.Rosa.De.Copan.787170_TMYx.zip</v>
      </c>
    </row>
    <row r="558" spans="1:10" x14ac:dyDescent="0.25">
      <c r="A558" t="s">
        <v>321</v>
      </c>
      <c r="B558" t="s">
        <v>354</v>
      </c>
      <c r="C558" t="s">
        <v>355</v>
      </c>
      <c r="D558">
        <v>787180</v>
      </c>
      <c r="E558" t="s">
        <v>356</v>
      </c>
      <c r="F558">
        <v>14.433</v>
      </c>
      <c r="G558">
        <v>-89.183000000000007</v>
      </c>
      <c r="H558">
        <v>-6</v>
      </c>
      <c r="I558">
        <v>626</v>
      </c>
      <c r="J558" t="str">
        <f>HYPERLINK("https://climate.onebuilding.org/WMO_Region_4_North_and_Central_America/HND_Honduras/OC_Ocotepeque/HND_OC_Nueva.Ocotepeque.787180_TMYx.2004-2018.zip")</f>
        <v>https://climate.onebuilding.org/WMO_Region_4_North_and_Central_America/HND_Honduras/OC_Ocotepeque/HND_OC_Nueva.Ocotepeque.787180_TMYx.2004-2018.zip</v>
      </c>
    </row>
    <row r="559" spans="1:10" x14ac:dyDescent="0.25">
      <c r="A559" t="s">
        <v>321</v>
      </c>
      <c r="B559" t="s">
        <v>354</v>
      </c>
      <c r="C559" t="s">
        <v>355</v>
      </c>
      <c r="D559">
        <v>787180</v>
      </c>
      <c r="E559" t="s">
        <v>10</v>
      </c>
      <c r="F559">
        <v>14.433</v>
      </c>
      <c r="G559">
        <v>-89.183000000000007</v>
      </c>
      <c r="H559">
        <v>-6</v>
      </c>
      <c r="I559">
        <v>626</v>
      </c>
      <c r="J559" t="str">
        <f>HYPERLINK("https://climate.onebuilding.org/WMO_Region_4_North_and_Central_America/HND_Honduras/OC_Ocotepeque/HND_OC_Nueva.Ocotepeque.787180_TMYx.2007-2021.zip")</f>
        <v>https://climate.onebuilding.org/WMO_Region_4_North_and_Central_America/HND_Honduras/OC_Ocotepeque/HND_OC_Nueva.Ocotepeque.787180_TMYx.2007-2021.zip</v>
      </c>
    </row>
    <row r="560" spans="1:10" x14ac:dyDescent="0.25">
      <c r="A560" t="s">
        <v>321</v>
      </c>
      <c r="B560" t="s">
        <v>354</v>
      </c>
      <c r="C560" t="s">
        <v>355</v>
      </c>
      <c r="D560">
        <v>787180</v>
      </c>
      <c r="E560" t="s">
        <v>10</v>
      </c>
      <c r="F560">
        <v>14.433</v>
      </c>
      <c r="G560">
        <v>-89.183000000000007</v>
      </c>
      <c r="H560">
        <v>-6</v>
      </c>
      <c r="I560">
        <v>626</v>
      </c>
      <c r="J560" t="str">
        <f>HYPERLINK("https://climate.onebuilding.org/WMO_Region_4_North_and_Central_America/HND_Honduras/OC_Ocotepeque/HND_OC_Nueva.Ocotepeque.787180_TMYx.2009-2023.zip")</f>
        <v>https://climate.onebuilding.org/WMO_Region_4_North_and_Central_America/HND_Honduras/OC_Ocotepeque/HND_OC_Nueva.Ocotepeque.787180_TMYx.2009-2023.zip</v>
      </c>
    </row>
    <row r="561" spans="1:10" x14ac:dyDescent="0.25">
      <c r="A561" t="s">
        <v>321</v>
      </c>
      <c r="B561" t="s">
        <v>354</v>
      </c>
      <c r="C561" t="s">
        <v>355</v>
      </c>
      <c r="D561">
        <v>787180</v>
      </c>
      <c r="E561" t="s">
        <v>10</v>
      </c>
      <c r="F561">
        <v>14.433</v>
      </c>
      <c r="G561">
        <v>-89.183000000000007</v>
      </c>
      <c r="H561">
        <v>-6</v>
      </c>
      <c r="I561">
        <v>626</v>
      </c>
      <c r="J561" t="str">
        <f>HYPERLINK("https://climate.onebuilding.org/WMO_Region_4_North_and_Central_America/HND_Honduras/OC_Ocotepeque/HND_OC_Nueva.Ocotepeque.787180_TMYx.zip")</f>
        <v>https://climate.onebuilding.org/WMO_Region_4_North_and_Central_America/HND_Honduras/OC_Ocotepeque/HND_OC_Nueva.Ocotepeque.787180_TMYx.zip</v>
      </c>
    </row>
    <row r="562" spans="1:10" x14ac:dyDescent="0.25">
      <c r="A562" t="s">
        <v>321</v>
      </c>
      <c r="B562" t="s">
        <v>72</v>
      </c>
      <c r="C562" t="s">
        <v>357</v>
      </c>
      <c r="D562">
        <v>787190</v>
      </c>
      <c r="E562" t="s">
        <v>358</v>
      </c>
      <c r="F562">
        <v>14.333</v>
      </c>
      <c r="G562">
        <v>-88.167000000000002</v>
      </c>
      <c r="H562">
        <v>-6</v>
      </c>
      <c r="I562">
        <v>1100</v>
      </c>
      <c r="J562" t="str">
        <f>HYPERLINK("https://climate.onebuilding.org/WMO_Region_4_North_and_Central_America/HND_Honduras/IN_Intibuca/HND_IN_La.Esperanza.787190_TMYx.2004-2018.zip")</f>
        <v>https://climate.onebuilding.org/WMO_Region_4_North_and_Central_America/HND_Honduras/IN_Intibuca/HND_IN_La.Esperanza.787190_TMYx.2004-2018.zip</v>
      </c>
    </row>
    <row r="563" spans="1:10" x14ac:dyDescent="0.25">
      <c r="A563" t="s">
        <v>321</v>
      </c>
      <c r="B563" t="s">
        <v>72</v>
      </c>
      <c r="C563" t="s">
        <v>357</v>
      </c>
      <c r="D563">
        <v>787190</v>
      </c>
      <c r="E563" t="s">
        <v>10</v>
      </c>
      <c r="F563">
        <v>14.333</v>
      </c>
      <c r="G563">
        <v>-88.167000000000002</v>
      </c>
      <c r="H563">
        <v>-6</v>
      </c>
      <c r="I563">
        <v>1100</v>
      </c>
      <c r="J563" t="str">
        <f>HYPERLINK("https://climate.onebuilding.org/WMO_Region_4_North_and_Central_America/HND_Honduras/IN_Intibuca/HND_IN_La.Esperanza.787190_TMYx.2007-2021.zip")</f>
        <v>https://climate.onebuilding.org/WMO_Region_4_North_and_Central_America/HND_Honduras/IN_Intibuca/HND_IN_La.Esperanza.787190_TMYx.2007-2021.zip</v>
      </c>
    </row>
    <row r="564" spans="1:10" x14ac:dyDescent="0.25">
      <c r="A564" t="s">
        <v>321</v>
      </c>
      <c r="B564" t="s">
        <v>72</v>
      </c>
      <c r="C564" t="s">
        <v>357</v>
      </c>
      <c r="D564">
        <v>787190</v>
      </c>
      <c r="E564" t="s">
        <v>10</v>
      </c>
      <c r="F564">
        <v>14.333</v>
      </c>
      <c r="G564">
        <v>-88.167000000000002</v>
      </c>
      <c r="H564">
        <v>-6</v>
      </c>
      <c r="I564">
        <v>1100</v>
      </c>
      <c r="J564" t="str">
        <f>HYPERLINK("https://climate.onebuilding.org/WMO_Region_4_North_and_Central_America/HND_Honduras/IN_Intibuca/HND_IN_La.Esperanza.787190_TMYx.2009-2023.zip")</f>
        <v>https://climate.onebuilding.org/WMO_Region_4_North_and_Central_America/HND_Honduras/IN_Intibuca/HND_IN_La.Esperanza.787190_TMYx.2009-2023.zip</v>
      </c>
    </row>
    <row r="565" spans="1:10" x14ac:dyDescent="0.25">
      <c r="A565" t="s">
        <v>321</v>
      </c>
      <c r="B565" t="s">
        <v>72</v>
      </c>
      <c r="C565" t="s">
        <v>357</v>
      </c>
      <c r="D565">
        <v>787190</v>
      </c>
      <c r="E565" t="s">
        <v>10</v>
      </c>
      <c r="F565">
        <v>14.333</v>
      </c>
      <c r="G565">
        <v>-88.167000000000002</v>
      </c>
      <c r="H565">
        <v>-6</v>
      </c>
      <c r="I565">
        <v>1100</v>
      </c>
      <c r="J565" t="str">
        <f>HYPERLINK("https://climate.onebuilding.org/WMO_Region_4_North_and_Central_America/HND_Honduras/IN_Intibuca/HND_IN_La.Esperanza.787190_TMYx.zip")</f>
        <v>https://climate.onebuilding.org/WMO_Region_4_North_and_Central_America/HND_Honduras/IN_Intibuca/HND_IN_La.Esperanza.787190_TMYx.zip</v>
      </c>
    </row>
    <row r="566" spans="1:10" x14ac:dyDescent="0.25">
      <c r="A566" t="s">
        <v>321</v>
      </c>
      <c r="B566" t="s">
        <v>359</v>
      </c>
      <c r="C566" t="s">
        <v>360</v>
      </c>
      <c r="D566">
        <v>787200</v>
      </c>
      <c r="E566" t="s">
        <v>361</v>
      </c>
      <c r="F566">
        <v>14.061</v>
      </c>
      <c r="G566">
        <v>-87.216999999999999</v>
      </c>
      <c r="H566">
        <v>-6</v>
      </c>
      <c r="I566">
        <v>1004</v>
      </c>
      <c r="J566" t="str">
        <f>HYPERLINK("https://climate.onebuilding.org/WMO_Region_4_North_and_Central_America/HND_Honduras/FM_Francisco_Morazan/HND_FM_Tegucigalpa-Toncontin.Intl.AP.787200_TMYx.2004-2018.zip")</f>
        <v>https://climate.onebuilding.org/WMO_Region_4_North_and_Central_America/HND_Honduras/FM_Francisco_Morazan/HND_FM_Tegucigalpa-Toncontin.Intl.AP.787200_TMYx.2004-2018.zip</v>
      </c>
    </row>
    <row r="567" spans="1:10" x14ac:dyDescent="0.25">
      <c r="A567" t="s">
        <v>321</v>
      </c>
      <c r="B567" t="s">
        <v>359</v>
      </c>
      <c r="C567" t="s">
        <v>360</v>
      </c>
      <c r="D567">
        <v>787200</v>
      </c>
      <c r="E567" t="s">
        <v>10</v>
      </c>
      <c r="F567">
        <v>14.061</v>
      </c>
      <c r="G567">
        <v>-87.216999999999999</v>
      </c>
      <c r="H567">
        <v>-6</v>
      </c>
      <c r="I567">
        <v>1004</v>
      </c>
      <c r="J567" t="str">
        <f>HYPERLINK("https://climate.onebuilding.org/WMO_Region_4_North_and_Central_America/HND_Honduras/FM_Francisco_Morazan/HND_FM_Tegucigalpa-Toncontin.Intl.AP.787200_TMYx.2007-2021.zip")</f>
        <v>https://climate.onebuilding.org/WMO_Region_4_North_and_Central_America/HND_Honduras/FM_Francisco_Morazan/HND_FM_Tegucigalpa-Toncontin.Intl.AP.787200_TMYx.2007-2021.zip</v>
      </c>
    </row>
    <row r="568" spans="1:10" x14ac:dyDescent="0.25">
      <c r="A568" t="s">
        <v>321</v>
      </c>
      <c r="B568" t="s">
        <v>359</v>
      </c>
      <c r="C568" t="s">
        <v>360</v>
      </c>
      <c r="D568">
        <v>787200</v>
      </c>
      <c r="E568" t="s">
        <v>10</v>
      </c>
      <c r="F568">
        <v>14.061</v>
      </c>
      <c r="G568">
        <v>-87.216999999999999</v>
      </c>
      <c r="H568">
        <v>-6</v>
      </c>
      <c r="I568">
        <v>1004</v>
      </c>
      <c r="J568" t="str">
        <f>HYPERLINK("https://climate.onebuilding.org/WMO_Region_4_North_and_Central_America/HND_Honduras/FM_Francisco_Morazan/HND_FM_Tegucigalpa-Toncontin.Intl.AP.787200_TMYx.2009-2023.zip")</f>
        <v>https://climate.onebuilding.org/WMO_Region_4_North_and_Central_America/HND_Honduras/FM_Francisco_Morazan/HND_FM_Tegucigalpa-Toncontin.Intl.AP.787200_TMYx.2009-2023.zip</v>
      </c>
    </row>
    <row r="569" spans="1:10" x14ac:dyDescent="0.25">
      <c r="A569" t="s">
        <v>321</v>
      </c>
      <c r="B569" t="s">
        <v>359</v>
      </c>
      <c r="C569" t="s">
        <v>360</v>
      </c>
      <c r="D569">
        <v>787200</v>
      </c>
      <c r="E569" t="s">
        <v>10</v>
      </c>
      <c r="F569">
        <v>14.061</v>
      </c>
      <c r="G569">
        <v>-87.216999999999999</v>
      </c>
      <c r="H569">
        <v>-6</v>
      </c>
      <c r="I569">
        <v>1004</v>
      </c>
      <c r="J569" t="str">
        <f>HYPERLINK("https://climate.onebuilding.org/WMO_Region_4_North_and_Central_America/HND_Honduras/FM_Francisco_Morazan/HND_FM_Tegucigalpa-Toncontin.Intl.AP.787200_TMYx.zip")</f>
        <v>https://climate.onebuilding.org/WMO_Region_4_North_and_Central_America/HND_Honduras/FM_Francisco_Morazan/HND_FM_Tegucigalpa-Toncontin.Intl.AP.787200_TMYx.zip</v>
      </c>
    </row>
    <row r="570" spans="1:10" x14ac:dyDescent="0.25">
      <c r="A570" t="s">
        <v>321</v>
      </c>
      <c r="B570" t="s">
        <v>137</v>
      </c>
      <c r="C570" t="s">
        <v>362</v>
      </c>
      <c r="D570">
        <v>787210</v>
      </c>
      <c r="E570" t="s">
        <v>363</v>
      </c>
      <c r="F570">
        <v>14.382</v>
      </c>
      <c r="G570">
        <v>-87.620999999999995</v>
      </c>
      <c r="H570">
        <v>-6</v>
      </c>
      <c r="I570">
        <v>628.20000000000005</v>
      </c>
      <c r="J570" t="str">
        <f>HYPERLINK("https://climate.onebuilding.org/WMO_Region_4_North_and_Central_America/HND_Honduras/CM_Comayagua/HND_CM_Comayagua-Soto.Cano.AB-Palmerola.Intl.AP.787210_TMYx.2004-2018.zip")</f>
        <v>https://climate.onebuilding.org/WMO_Region_4_North_and_Central_America/HND_Honduras/CM_Comayagua/HND_CM_Comayagua-Soto.Cano.AB-Palmerola.Intl.AP.787210_TMYx.2004-2018.zip</v>
      </c>
    </row>
    <row r="571" spans="1:10" x14ac:dyDescent="0.25">
      <c r="A571" t="s">
        <v>321</v>
      </c>
      <c r="B571" t="s">
        <v>137</v>
      </c>
      <c r="C571" t="s">
        <v>362</v>
      </c>
      <c r="D571">
        <v>787210</v>
      </c>
      <c r="E571" t="s">
        <v>10</v>
      </c>
      <c r="F571">
        <v>14.382</v>
      </c>
      <c r="G571">
        <v>-87.620999999999995</v>
      </c>
      <c r="H571">
        <v>-6</v>
      </c>
      <c r="I571">
        <v>628.20000000000005</v>
      </c>
      <c r="J571" t="str">
        <f>HYPERLINK("https://climate.onebuilding.org/WMO_Region_4_North_and_Central_America/HND_Honduras/CM_Comayagua/HND_CM_Comayagua-Soto.Cano.AB-Palmerola.Intl.AP.787210_TMYx.2007-2021.zip")</f>
        <v>https://climate.onebuilding.org/WMO_Region_4_North_and_Central_America/HND_Honduras/CM_Comayagua/HND_CM_Comayagua-Soto.Cano.AB-Palmerola.Intl.AP.787210_TMYx.2007-2021.zip</v>
      </c>
    </row>
    <row r="572" spans="1:10" x14ac:dyDescent="0.25">
      <c r="A572" t="s">
        <v>321</v>
      </c>
      <c r="B572" t="s">
        <v>137</v>
      </c>
      <c r="C572" t="s">
        <v>362</v>
      </c>
      <c r="D572">
        <v>787210</v>
      </c>
      <c r="E572" t="s">
        <v>10</v>
      </c>
      <c r="F572">
        <v>14.382</v>
      </c>
      <c r="G572">
        <v>-87.620999999999995</v>
      </c>
      <c r="H572">
        <v>-6</v>
      </c>
      <c r="I572">
        <v>628.20000000000005</v>
      </c>
      <c r="J572" t="str">
        <f>HYPERLINK("https://climate.onebuilding.org/WMO_Region_4_North_and_Central_America/HND_Honduras/CM_Comayagua/HND_CM_Comayagua-Soto.Cano.AB-Palmerola.Intl.AP.787210_TMYx.2009-2023.zip")</f>
        <v>https://climate.onebuilding.org/WMO_Region_4_North_and_Central_America/HND_Honduras/CM_Comayagua/HND_CM_Comayagua-Soto.Cano.AB-Palmerola.Intl.AP.787210_TMYx.2009-2023.zip</v>
      </c>
    </row>
    <row r="573" spans="1:10" x14ac:dyDescent="0.25">
      <c r="A573" t="s">
        <v>321</v>
      </c>
      <c r="B573" t="s">
        <v>137</v>
      </c>
      <c r="C573" t="s">
        <v>362</v>
      </c>
      <c r="D573">
        <v>787210</v>
      </c>
      <c r="E573" t="s">
        <v>10</v>
      </c>
      <c r="F573">
        <v>14.382</v>
      </c>
      <c r="G573">
        <v>-87.620999999999995</v>
      </c>
      <c r="H573">
        <v>-6</v>
      </c>
      <c r="I573">
        <v>628.20000000000005</v>
      </c>
      <c r="J573" t="str">
        <f>HYPERLINK("https://climate.onebuilding.org/WMO_Region_4_North_and_Central_America/HND_Honduras/CM_Comayagua/HND_CM_Comayagua-Soto.Cano.AB-Palmerola.Intl.AP.787210_TMYx.zip")</f>
        <v>https://climate.onebuilding.org/WMO_Region_4_North_and_Central_America/HND_Honduras/CM_Comayagua/HND_CM_Comayagua-Soto.Cano.AB-Palmerola.Intl.AP.787210_TMYx.zip</v>
      </c>
    </row>
    <row r="574" spans="1:10" x14ac:dyDescent="0.25">
      <c r="A574" t="s">
        <v>321</v>
      </c>
      <c r="B574" t="s">
        <v>122</v>
      </c>
      <c r="C574" t="s">
        <v>364</v>
      </c>
      <c r="D574">
        <v>787240</v>
      </c>
      <c r="E574" t="s">
        <v>365</v>
      </c>
      <c r="F574">
        <v>13.3</v>
      </c>
      <c r="G574">
        <v>-87.183000000000007</v>
      </c>
      <c r="H574">
        <v>-6</v>
      </c>
      <c r="I574">
        <v>48</v>
      </c>
      <c r="J574" t="str">
        <f>HYPERLINK("https://climate.onebuilding.org/WMO_Region_4_North_and_Central_America/HND_Honduras/CH_Choluteca/HND_CH_Choluteca.787240_TMYx.2004-2018.zip")</f>
        <v>https://climate.onebuilding.org/WMO_Region_4_North_and_Central_America/HND_Honduras/CH_Choluteca/HND_CH_Choluteca.787240_TMYx.2004-2018.zip</v>
      </c>
    </row>
    <row r="575" spans="1:10" x14ac:dyDescent="0.25">
      <c r="A575" t="s">
        <v>321</v>
      </c>
      <c r="B575" t="s">
        <v>122</v>
      </c>
      <c r="C575" t="s">
        <v>364</v>
      </c>
      <c r="D575">
        <v>787240</v>
      </c>
      <c r="E575" t="s">
        <v>10</v>
      </c>
      <c r="F575">
        <v>13.3</v>
      </c>
      <c r="G575">
        <v>-87.183000000000007</v>
      </c>
      <c r="H575">
        <v>-6</v>
      </c>
      <c r="I575">
        <v>48</v>
      </c>
      <c r="J575" t="str">
        <f>HYPERLINK("https://climate.onebuilding.org/WMO_Region_4_North_and_Central_America/HND_Honduras/CH_Choluteca/HND_CH_Choluteca.787240_TMYx.2007-2021.zip")</f>
        <v>https://climate.onebuilding.org/WMO_Region_4_North_and_Central_America/HND_Honduras/CH_Choluteca/HND_CH_Choluteca.787240_TMYx.2007-2021.zip</v>
      </c>
    </row>
    <row r="576" spans="1:10" x14ac:dyDescent="0.25">
      <c r="A576" t="s">
        <v>321</v>
      </c>
      <c r="B576" t="s">
        <v>122</v>
      </c>
      <c r="C576" t="s">
        <v>364</v>
      </c>
      <c r="D576">
        <v>787240</v>
      </c>
      <c r="E576" t="s">
        <v>10</v>
      </c>
      <c r="F576">
        <v>13.3</v>
      </c>
      <c r="G576">
        <v>-87.183000000000007</v>
      </c>
      <c r="H576">
        <v>-6</v>
      </c>
      <c r="I576">
        <v>48</v>
      </c>
      <c r="J576" t="str">
        <f>HYPERLINK("https://climate.onebuilding.org/WMO_Region_4_North_and_Central_America/HND_Honduras/CH_Choluteca/HND_CH_Choluteca.787240_TMYx.2009-2023.zip")</f>
        <v>https://climate.onebuilding.org/WMO_Region_4_North_and_Central_America/HND_Honduras/CH_Choluteca/HND_CH_Choluteca.787240_TMYx.2009-2023.zip</v>
      </c>
    </row>
    <row r="577" spans="1:10" x14ac:dyDescent="0.25">
      <c r="A577" t="s">
        <v>321</v>
      </c>
      <c r="B577" t="s">
        <v>122</v>
      </c>
      <c r="C577" t="s">
        <v>364</v>
      </c>
      <c r="D577">
        <v>787240</v>
      </c>
      <c r="E577" t="s">
        <v>10</v>
      </c>
      <c r="F577">
        <v>13.3</v>
      </c>
      <c r="G577">
        <v>-87.183000000000007</v>
      </c>
      <c r="H577">
        <v>-6</v>
      </c>
      <c r="I577">
        <v>48</v>
      </c>
      <c r="J577" t="str">
        <f>HYPERLINK("https://climate.onebuilding.org/WMO_Region_4_North_and_Central_America/HND_Honduras/CH_Choluteca/HND_CH_Choluteca.787240_TMYx.zip")</f>
        <v>https://climate.onebuilding.org/WMO_Region_4_North_and_Central_America/HND_Honduras/CH_Choluteca/HND_CH_Choluteca.787240_TMYx.zip</v>
      </c>
    </row>
    <row r="578" spans="1:10" x14ac:dyDescent="0.25">
      <c r="A578" t="s">
        <v>366</v>
      </c>
      <c r="B578" t="s">
        <v>367</v>
      </c>
      <c r="C578" t="s">
        <v>368</v>
      </c>
      <c r="D578">
        <v>784090</v>
      </c>
      <c r="E578" t="s">
        <v>10</v>
      </c>
      <c r="F578">
        <v>19.733000000000001</v>
      </c>
      <c r="G578">
        <v>-72.194999999999993</v>
      </c>
      <c r="H578">
        <v>-5</v>
      </c>
      <c r="I578">
        <v>3</v>
      </c>
      <c r="J578" t="str">
        <f>HYPERLINK("https://climate.onebuilding.org/WMO_Region_4_North_and_Central_America/HTI_Haiti/HTI_ND_Cap-Haitien.Intl.AP.784090_TMYx.2007-2021.zip")</f>
        <v>https://climate.onebuilding.org/WMO_Region_4_North_and_Central_America/HTI_Haiti/HTI_ND_Cap-Haitien.Intl.AP.784090_TMYx.2007-2021.zip</v>
      </c>
    </row>
    <row r="579" spans="1:10" x14ac:dyDescent="0.25">
      <c r="A579" t="s">
        <v>366</v>
      </c>
      <c r="B579" t="s">
        <v>367</v>
      </c>
      <c r="C579" t="s">
        <v>368</v>
      </c>
      <c r="D579">
        <v>784090</v>
      </c>
      <c r="E579" t="s">
        <v>10</v>
      </c>
      <c r="F579">
        <v>19.733000000000001</v>
      </c>
      <c r="G579">
        <v>-72.194999999999993</v>
      </c>
      <c r="H579">
        <v>-5</v>
      </c>
      <c r="I579">
        <v>3</v>
      </c>
      <c r="J579" t="str">
        <f>HYPERLINK("https://climate.onebuilding.org/WMO_Region_4_North_and_Central_America/HTI_Haiti/HTI_ND_Cap-Haitien.Intl.AP.784090_TMYx.2009-2023.zip")</f>
        <v>https://climate.onebuilding.org/WMO_Region_4_North_and_Central_America/HTI_Haiti/HTI_ND_Cap-Haitien.Intl.AP.784090_TMYx.2009-2023.zip</v>
      </c>
    </row>
    <row r="580" spans="1:10" x14ac:dyDescent="0.25">
      <c r="A580" t="s">
        <v>366</v>
      </c>
      <c r="B580" t="s">
        <v>367</v>
      </c>
      <c r="C580" t="s">
        <v>368</v>
      </c>
      <c r="D580">
        <v>784090</v>
      </c>
      <c r="E580" t="s">
        <v>10</v>
      </c>
      <c r="F580">
        <v>19.733000000000001</v>
      </c>
      <c r="G580">
        <v>-72.194999999999993</v>
      </c>
      <c r="H580">
        <v>-5</v>
      </c>
      <c r="I580">
        <v>3</v>
      </c>
      <c r="J580" t="str">
        <f>HYPERLINK("https://climate.onebuilding.org/WMO_Region_4_North_and_Central_America/HTI_Haiti/HTI_ND_Cap-Haitien.Intl.AP.784090_TMYx.zip")</f>
        <v>https://climate.onebuilding.org/WMO_Region_4_North_and_Central_America/HTI_Haiti/HTI_ND_Cap-Haitien.Intl.AP.784090_TMYx.zip</v>
      </c>
    </row>
    <row r="581" spans="1:10" x14ac:dyDescent="0.25">
      <c r="A581" t="s">
        <v>366</v>
      </c>
      <c r="B581" t="s">
        <v>369</v>
      </c>
      <c r="C581" t="s">
        <v>370</v>
      </c>
      <c r="D581">
        <v>784390</v>
      </c>
      <c r="E581" t="s">
        <v>371</v>
      </c>
      <c r="F581">
        <v>18.579999999999998</v>
      </c>
      <c r="G581">
        <v>-72.293000000000006</v>
      </c>
      <c r="H581">
        <v>-5</v>
      </c>
      <c r="I581">
        <v>37.200000000000003</v>
      </c>
      <c r="J581" t="str">
        <f>HYPERLINK("https://climate.onebuilding.org/WMO_Region_4_North_and_Central_America/HTI_Haiti/HTI_OU_Port.Au.Prince-Louverture.Intl.AP.784390_TMYx.2004-2018.zip")</f>
        <v>https://climate.onebuilding.org/WMO_Region_4_North_and_Central_America/HTI_Haiti/HTI_OU_Port.Au.Prince-Louverture.Intl.AP.784390_TMYx.2004-2018.zip</v>
      </c>
    </row>
    <row r="582" spans="1:10" x14ac:dyDescent="0.25">
      <c r="A582" t="s">
        <v>366</v>
      </c>
      <c r="B582" t="s">
        <v>369</v>
      </c>
      <c r="C582" t="s">
        <v>370</v>
      </c>
      <c r="D582">
        <v>784390</v>
      </c>
      <c r="E582" t="s">
        <v>10</v>
      </c>
      <c r="F582">
        <v>18.579999999999998</v>
      </c>
      <c r="G582">
        <v>-72.293000000000006</v>
      </c>
      <c r="H582">
        <v>-5</v>
      </c>
      <c r="I582">
        <v>37.200000000000003</v>
      </c>
      <c r="J582" t="str">
        <f>HYPERLINK("https://climate.onebuilding.org/WMO_Region_4_North_and_Central_America/HTI_Haiti/HTI_OU_Port.Au.Prince-Louverture.Intl.AP.784390_TMYx.2007-2021.zip")</f>
        <v>https://climate.onebuilding.org/WMO_Region_4_North_and_Central_America/HTI_Haiti/HTI_OU_Port.Au.Prince-Louverture.Intl.AP.784390_TMYx.2007-2021.zip</v>
      </c>
    </row>
    <row r="583" spans="1:10" x14ac:dyDescent="0.25">
      <c r="A583" t="s">
        <v>366</v>
      </c>
      <c r="B583" t="s">
        <v>369</v>
      </c>
      <c r="C583" t="s">
        <v>370</v>
      </c>
      <c r="D583">
        <v>784390</v>
      </c>
      <c r="E583" t="s">
        <v>10</v>
      </c>
      <c r="F583">
        <v>18.579999999999998</v>
      </c>
      <c r="G583">
        <v>-72.293000000000006</v>
      </c>
      <c r="H583">
        <v>-5</v>
      </c>
      <c r="I583">
        <v>37.200000000000003</v>
      </c>
      <c r="J583" t="str">
        <f>HYPERLINK("https://climate.onebuilding.org/WMO_Region_4_North_and_Central_America/HTI_Haiti/HTI_OU_Port.Au.Prince-Louverture.Intl.AP.784390_TMYx.2009-2023.zip")</f>
        <v>https://climate.onebuilding.org/WMO_Region_4_North_and_Central_America/HTI_Haiti/HTI_OU_Port.Au.Prince-Louverture.Intl.AP.784390_TMYx.2009-2023.zip</v>
      </c>
    </row>
    <row r="584" spans="1:10" x14ac:dyDescent="0.25">
      <c r="A584" t="s">
        <v>366</v>
      </c>
      <c r="B584" t="s">
        <v>369</v>
      </c>
      <c r="C584" t="s">
        <v>370</v>
      </c>
      <c r="D584">
        <v>784390</v>
      </c>
      <c r="E584" t="s">
        <v>10</v>
      </c>
      <c r="F584">
        <v>18.579999999999998</v>
      </c>
      <c r="G584">
        <v>-72.293000000000006</v>
      </c>
      <c r="H584">
        <v>-5</v>
      </c>
      <c r="I584">
        <v>37.200000000000003</v>
      </c>
      <c r="J584" t="str">
        <f>HYPERLINK("https://climate.onebuilding.org/WMO_Region_4_North_and_Central_America/HTI_Haiti/HTI_OU_Port.Au.Prince-Louverture.Intl.AP.784390_TMYx.zip")</f>
        <v>https://climate.onebuilding.org/WMO_Region_4_North_and_Central_America/HTI_Haiti/HTI_OU_Port.Au.Prince-Louverture.Intl.AP.784390_TMYx.zip</v>
      </c>
    </row>
    <row r="585" spans="1:10" x14ac:dyDescent="0.25">
      <c r="A585" t="s">
        <v>366</v>
      </c>
      <c r="B585" t="s">
        <v>262</v>
      </c>
      <c r="C585" t="s">
        <v>372</v>
      </c>
      <c r="D585">
        <v>784470</v>
      </c>
      <c r="E585" t="s">
        <v>18</v>
      </c>
      <c r="F585">
        <v>18.202059999999999</v>
      </c>
      <c r="G585">
        <v>-73.757270000000005</v>
      </c>
      <c r="H585">
        <v>-5</v>
      </c>
      <c r="I585">
        <v>2</v>
      </c>
      <c r="J585" t="str">
        <f>HYPERLINK("https://climate.onebuilding.org/WMO_Region_4_North_and_Central_America/HTI_Haiti/HTI_SD_Les.Cayes.784470_TMYx.2007-2021.zip")</f>
        <v>https://climate.onebuilding.org/WMO_Region_4_North_and_Central_America/HTI_Haiti/HTI_SD_Les.Cayes.784470_TMYx.2007-2021.zip</v>
      </c>
    </row>
    <row r="586" spans="1:10" x14ac:dyDescent="0.25">
      <c r="A586" t="s">
        <v>366</v>
      </c>
      <c r="B586" t="s">
        <v>262</v>
      </c>
      <c r="C586" t="s">
        <v>372</v>
      </c>
      <c r="D586">
        <v>784470</v>
      </c>
      <c r="E586" t="s">
        <v>18</v>
      </c>
      <c r="F586">
        <v>18.202059999999999</v>
      </c>
      <c r="G586">
        <v>-73.757270000000005</v>
      </c>
      <c r="H586">
        <v>-5</v>
      </c>
      <c r="I586">
        <v>2</v>
      </c>
      <c r="J586" t="str">
        <f>HYPERLINK("https://climate.onebuilding.org/WMO_Region_4_North_and_Central_America/HTI_Haiti/HTI_SD_Les.Cayes.784470_TMYx.2009-2023.zip")</f>
        <v>https://climate.onebuilding.org/WMO_Region_4_North_and_Central_America/HTI_Haiti/HTI_SD_Les.Cayes.784470_TMYx.2009-2023.zip</v>
      </c>
    </row>
    <row r="587" spans="1:10" x14ac:dyDescent="0.25">
      <c r="A587" t="s">
        <v>366</v>
      </c>
      <c r="B587" t="s">
        <v>262</v>
      </c>
      <c r="C587" t="s">
        <v>372</v>
      </c>
      <c r="D587">
        <v>784470</v>
      </c>
      <c r="E587" t="s">
        <v>18</v>
      </c>
      <c r="F587">
        <v>18.202059999999999</v>
      </c>
      <c r="G587">
        <v>-73.757270000000005</v>
      </c>
      <c r="H587">
        <v>-5</v>
      </c>
      <c r="I587">
        <v>2</v>
      </c>
      <c r="J587" t="str">
        <f>HYPERLINK("https://climate.onebuilding.org/WMO_Region_4_North_and_Central_America/HTI_Haiti/HTI_SD_Les.Cayes.784470_TMYx.zip")</f>
        <v>https://climate.onebuilding.org/WMO_Region_4_North_and_Central_America/HTI_Haiti/HTI_SD_Les.Cayes.784470_TMYx.zip</v>
      </c>
    </row>
    <row r="588" spans="1:10" x14ac:dyDescent="0.25">
      <c r="A588" t="s">
        <v>366</v>
      </c>
      <c r="B588" t="s">
        <v>26</v>
      </c>
      <c r="C588" t="s">
        <v>373</v>
      </c>
      <c r="D588">
        <v>784490</v>
      </c>
      <c r="E588" t="s">
        <v>18</v>
      </c>
      <c r="F588">
        <v>18.2333</v>
      </c>
      <c r="G588">
        <v>-72.533299999999997</v>
      </c>
      <c r="H588">
        <v>-5</v>
      </c>
      <c r="I588">
        <v>34</v>
      </c>
      <c r="J588" t="str">
        <f>HYPERLINK("https://climate.onebuilding.org/WMO_Region_4_North_and_Central_America/HTI_Haiti/HTI_SE_Jacmel.784490_TMYx.2007-2021.zip")</f>
        <v>https://climate.onebuilding.org/WMO_Region_4_North_and_Central_America/HTI_Haiti/HTI_SE_Jacmel.784490_TMYx.2007-2021.zip</v>
      </c>
    </row>
    <row r="589" spans="1:10" x14ac:dyDescent="0.25">
      <c r="A589" t="s">
        <v>366</v>
      </c>
      <c r="B589" t="s">
        <v>26</v>
      </c>
      <c r="C589" t="s">
        <v>373</v>
      </c>
      <c r="D589">
        <v>784490</v>
      </c>
      <c r="E589" t="s">
        <v>18</v>
      </c>
      <c r="F589">
        <v>18.2333</v>
      </c>
      <c r="G589">
        <v>-72.533299999999997</v>
      </c>
      <c r="H589">
        <v>-5</v>
      </c>
      <c r="I589">
        <v>34</v>
      </c>
      <c r="J589" t="str">
        <f>HYPERLINK("https://climate.onebuilding.org/WMO_Region_4_North_and_Central_America/HTI_Haiti/HTI_SE_Jacmel.784490_TMYx.2009-2023.zip")</f>
        <v>https://climate.onebuilding.org/WMO_Region_4_North_and_Central_America/HTI_Haiti/HTI_SE_Jacmel.784490_TMYx.2009-2023.zip</v>
      </c>
    </row>
    <row r="590" spans="1:10" x14ac:dyDescent="0.25">
      <c r="A590" t="s">
        <v>366</v>
      </c>
      <c r="B590" t="s">
        <v>26</v>
      </c>
      <c r="C590" t="s">
        <v>373</v>
      </c>
      <c r="D590">
        <v>784490</v>
      </c>
      <c r="E590" t="s">
        <v>18</v>
      </c>
      <c r="F590">
        <v>18.2333</v>
      </c>
      <c r="G590">
        <v>-72.533299999999997</v>
      </c>
      <c r="H590">
        <v>-5</v>
      </c>
      <c r="I590">
        <v>34</v>
      </c>
      <c r="J590" t="str">
        <f>HYPERLINK("https://climate.onebuilding.org/WMO_Region_4_North_and_Central_America/HTI_Haiti/HTI_SE_Jacmel.784490_TMYx.zip")</f>
        <v>https://climate.onebuilding.org/WMO_Region_4_North_and_Central_America/HTI_Haiti/HTI_SE_Jacmel.784490_TMYx.zip</v>
      </c>
    </row>
    <row r="591" spans="1:10" x14ac:dyDescent="0.25">
      <c r="A591" t="s">
        <v>374</v>
      </c>
      <c r="B591" t="s">
        <v>375</v>
      </c>
      <c r="C591" t="s">
        <v>376</v>
      </c>
      <c r="D591">
        <v>783870</v>
      </c>
      <c r="E591" t="s">
        <v>10</v>
      </c>
      <c r="F591">
        <v>18.25</v>
      </c>
      <c r="G591">
        <v>-78.367000000000004</v>
      </c>
      <c r="H591">
        <v>-5</v>
      </c>
      <c r="I591">
        <v>10</v>
      </c>
      <c r="J591" t="str">
        <f>HYPERLINK("https://climate.onebuilding.org/WMO_Region_4_North_and_Central_America/JAM_Jamaica/JAM_WE_Negril.Point.783870_TMYx.2007-2021.zip")</f>
        <v>https://climate.onebuilding.org/WMO_Region_4_North_and_Central_America/JAM_Jamaica/JAM_WE_Negril.Point.783870_TMYx.2007-2021.zip</v>
      </c>
    </row>
    <row r="592" spans="1:10" x14ac:dyDescent="0.25">
      <c r="A592" t="s">
        <v>374</v>
      </c>
      <c r="B592" t="s">
        <v>375</v>
      </c>
      <c r="C592" t="s">
        <v>376</v>
      </c>
      <c r="D592">
        <v>783870</v>
      </c>
      <c r="E592" t="s">
        <v>10</v>
      </c>
      <c r="F592">
        <v>18.25</v>
      </c>
      <c r="G592">
        <v>-78.367000000000004</v>
      </c>
      <c r="H592">
        <v>-5</v>
      </c>
      <c r="I592">
        <v>10</v>
      </c>
      <c r="J592" t="str">
        <f>HYPERLINK("https://climate.onebuilding.org/WMO_Region_4_North_and_Central_America/JAM_Jamaica/JAM_WE_Negril.Point.783870_TMYx.2009-2023.zip")</f>
        <v>https://climate.onebuilding.org/WMO_Region_4_North_and_Central_America/JAM_Jamaica/JAM_WE_Negril.Point.783870_TMYx.2009-2023.zip</v>
      </c>
    </row>
    <row r="593" spans="1:10" x14ac:dyDescent="0.25">
      <c r="A593" t="s">
        <v>374</v>
      </c>
      <c r="B593" t="s">
        <v>375</v>
      </c>
      <c r="C593" t="s">
        <v>376</v>
      </c>
      <c r="D593">
        <v>783870</v>
      </c>
      <c r="E593" t="s">
        <v>10</v>
      </c>
      <c r="F593">
        <v>18.25</v>
      </c>
      <c r="G593">
        <v>-78.367000000000004</v>
      </c>
      <c r="H593">
        <v>-5</v>
      </c>
      <c r="I593">
        <v>10</v>
      </c>
      <c r="J593" t="str">
        <f>HYPERLINK("https://climate.onebuilding.org/WMO_Region_4_North_and_Central_America/JAM_Jamaica/JAM_WE_Negril.Point.783870_TMYx.zip")</f>
        <v>https://climate.onebuilding.org/WMO_Region_4_North_and_Central_America/JAM_Jamaica/JAM_WE_Negril.Point.783870_TMYx.zip</v>
      </c>
    </row>
    <row r="594" spans="1:10" x14ac:dyDescent="0.25">
      <c r="A594" t="s">
        <v>374</v>
      </c>
      <c r="B594" t="s">
        <v>105</v>
      </c>
      <c r="C594" t="s">
        <v>377</v>
      </c>
      <c r="D594">
        <v>783880</v>
      </c>
      <c r="E594" t="s">
        <v>378</v>
      </c>
      <c r="F594">
        <v>18.504000000000001</v>
      </c>
      <c r="G594">
        <v>-77.912999999999997</v>
      </c>
      <c r="H594">
        <v>-5</v>
      </c>
      <c r="I594">
        <v>1.2</v>
      </c>
      <c r="J594" t="str">
        <f>HYPERLINK("https://climate.onebuilding.org/WMO_Region_4_North_and_Central_America/JAM_Jamaica/JAM_SJ_Montego.Bay-Sangster.Intl.AP.783880_TMYx.2004-2018.zip")</f>
        <v>https://climate.onebuilding.org/WMO_Region_4_North_and_Central_America/JAM_Jamaica/JAM_SJ_Montego.Bay-Sangster.Intl.AP.783880_TMYx.2004-2018.zip</v>
      </c>
    </row>
    <row r="595" spans="1:10" x14ac:dyDescent="0.25">
      <c r="A595" t="s">
        <v>374</v>
      </c>
      <c r="B595" t="s">
        <v>105</v>
      </c>
      <c r="C595" t="s">
        <v>377</v>
      </c>
      <c r="D595">
        <v>783880</v>
      </c>
      <c r="E595" t="s">
        <v>10</v>
      </c>
      <c r="F595">
        <v>18.504000000000001</v>
      </c>
      <c r="G595">
        <v>-77.912999999999997</v>
      </c>
      <c r="H595">
        <v>-5</v>
      </c>
      <c r="I595">
        <v>1.2</v>
      </c>
      <c r="J595" t="str">
        <f>HYPERLINK("https://climate.onebuilding.org/WMO_Region_4_North_and_Central_America/JAM_Jamaica/JAM_SJ_Montego.Bay-Sangster.Intl.AP.783880_TMYx.2007-2021.zip")</f>
        <v>https://climate.onebuilding.org/WMO_Region_4_North_and_Central_America/JAM_Jamaica/JAM_SJ_Montego.Bay-Sangster.Intl.AP.783880_TMYx.2007-2021.zip</v>
      </c>
    </row>
    <row r="596" spans="1:10" x14ac:dyDescent="0.25">
      <c r="A596" t="s">
        <v>374</v>
      </c>
      <c r="B596" t="s">
        <v>105</v>
      </c>
      <c r="C596" t="s">
        <v>377</v>
      </c>
      <c r="D596">
        <v>783880</v>
      </c>
      <c r="E596" t="s">
        <v>10</v>
      </c>
      <c r="F596">
        <v>18.504000000000001</v>
      </c>
      <c r="G596">
        <v>-77.912999999999997</v>
      </c>
      <c r="H596">
        <v>-5</v>
      </c>
      <c r="I596">
        <v>1.2</v>
      </c>
      <c r="J596" t="str">
        <f>HYPERLINK("https://climate.onebuilding.org/WMO_Region_4_North_and_Central_America/JAM_Jamaica/JAM_SJ_Montego.Bay-Sangster.Intl.AP.783880_TMYx.2009-2023.zip")</f>
        <v>https://climate.onebuilding.org/WMO_Region_4_North_and_Central_America/JAM_Jamaica/JAM_SJ_Montego.Bay-Sangster.Intl.AP.783880_TMYx.2009-2023.zip</v>
      </c>
    </row>
    <row r="597" spans="1:10" x14ac:dyDescent="0.25">
      <c r="A597" t="s">
        <v>374</v>
      </c>
      <c r="B597" t="s">
        <v>105</v>
      </c>
      <c r="C597" t="s">
        <v>377</v>
      </c>
      <c r="D597">
        <v>783880</v>
      </c>
      <c r="E597" t="s">
        <v>10</v>
      </c>
      <c r="F597">
        <v>18.504000000000001</v>
      </c>
      <c r="G597">
        <v>-77.912999999999997</v>
      </c>
      <c r="H597">
        <v>-5</v>
      </c>
      <c r="I597">
        <v>1.2</v>
      </c>
      <c r="J597" t="str">
        <f>HYPERLINK("https://climate.onebuilding.org/WMO_Region_4_North_and_Central_America/JAM_Jamaica/JAM_SJ_Montego.Bay-Sangster.Intl.AP.783880_TMYx.zip")</f>
        <v>https://climate.onebuilding.org/WMO_Region_4_North_and_Central_America/JAM_Jamaica/JAM_SJ_Montego.Bay-Sangster.Intl.AP.783880_TMYx.zip</v>
      </c>
    </row>
    <row r="598" spans="1:10" x14ac:dyDescent="0.25">
      <c r="A598" t="s">
        <v>374</v>
      </c>
      <c r="B598" t="s">
        <v>379</v>
      </c>
      <c r="C598" t="s">
        <v>380</v>
      </c>
      <c r="D598">
        <v>783970</v>
      </c>
      <c r="E598" t="s">
        <v>381</v>
      </c>
      <c r="F598">
        <v>17.936</v>
      </c>
      <c r="G598">
        <v>-76.787999999999997</v>
      </c>
      <c r="H598">
        <v>-5</v>
      </c>
      <c r="I598">
        <v>3</v>
      </c>
      <c r="J598" t="str">
        <f>HYPERLINK("https://climate.onebuilding.org/WMO_Region_4_North_and_Central_America/JAM_Jamaica/JAM_KI_Kingston-Manley.Intl.AP.783970_TMYx.2004-2018.zip")</f>
        <v>https://climate.onebuilding.org/WMO_Region_4_North_and_Central_America/JAM_Jamaica/JAM_KI_Kingston-Manley.Intl.AP.783970_TMYx.2004-2018.zip</v>
      </c>
    </row>
    <row r="599" spans="1:10" x14ac:dyDescent="0.25">
      <c r="A599" t="s">
        <v>374</v>
      </c>
      <c r="B599" t="s">
        <v>379</v>
      </c>
      <c r="C599" t="s">
        <v>380</v>
      </c>
      <c r="D599">
        <v>783970</v>
      </c>
      <c r="E599" t="s">
        <v>10</v>
      </c>
      <c r="F599">
        <v>17.936</v>
      </c>
      <c r="G599">
        <v>-76.787999999999997</v>
      </c>
      <c r="H599">
        <v>-5</v>
      </c>
      <c r="I599">
        <v>3</v>
      </c>
      <c r="J599" t="str">
        <f>HYPERLINK("https://climate.onebuilding.org/WMO_Region_4_North_and_Central_America/JAM_Jamaica/JAM_KI_Kingston-Manley.Intl.AP.783970_TMYx.2007-2021.zip")</f>
        <v>https://climate.onebuilding.org/WMO_Region_4_North_and_Central_America/JAM_Jamaica/JAM_KI_Kingston-Manley.Intl.AP.783970_TMYx.2007-2021.zip</v>
      </c>
    </row>
    <row r="600" spans="1:10" x14ac:dyDescent="0.25">
      <c r="A600" t="s">
        <v>374</v>
      </c>
      <c r="B600" t="s">
        <v>379</v>
      </c>
      <c r="C600" t="s">
        <v>380</v>
      </c>
      <c r="D600">
        <v>783970</v>
      </c>
      <c r="E600" t="s">
        <v>10</v>
      </c>
      <c r="F600">
        <v>17.936</v>
      </c>
      <c r="G600">
        <v>-76.787999999999997</v>
      </c>
      <c r="H600">
        <v>-5</v>
      </c>
      <c r="I600">
        <v>3</v>
      </c>
      <c r="J600" t="str">
        <f>HYPERLINK("https://climate.onebuilding.org/WMO_Region_4_North_and_Central_America/JAM_Jamaica/JAM_KI_Kingston-Manley.Intl.AP.783970_TMYx.2009-2023.zip")</f>
        <v>https://climate.onebuilding.org/WMO_Region_4_North_and_Central_America/JAM_Jamaica/JAM_KI_Kingston-Manley.Intl.AP.783970_TMYx.2009-2023.zip</v>
      </c>
    </row>
    <row r="601" spans="1:10" x14ac:dyDescent="0.25">
      <c r="A601" t="s">
        <v>374</v>
      </c>
      <c r="B601" t="s">
        <v>379</v>
      </c>
      <c r="C601" t="s">
        <v>380</v>
      </c>
      <c r="D601">
        <v>783970</v>
      </c>
      <c r="E601" t="s">
        <v>10</v>
      </c>
      <c r="F601">
        <v>17.936</v>
      </c>
      <c r="G601">
        <v>-76.787999999999997</v>
      </c>
      <c r="H601">
        <v>-5</v>
      </c>
      <c r="I601">
        <v>3</v>
      </c>
      <c r="J601" t="str">
        <f>HYPERLINK("https://climate.onebuilding.org/WMO_Region_4_North_and_Central_America/JAM_Jamaica/JAM_KI_Kingston-Manley.Intl.AP.783970_TMYx.zip")</f>
        <v>https://climate.onebuilding.org/WMO_Region_4_North_and_Central_America/JAM_Jamaica/JAM_KI_Kingston-Manley.Intl.AP.783970_TMYx.zip</v>
      </c>
    </row>
    <row r="602" spans="1:10" x14ac:dyDescent="0.25">
      <c r="A602" t="s">
        <v>374</v>
      </c>
      <c r="B602" t="s">
        <v>240</v>
      </c>
      <c r="C602" t="s">
        <v>382</v>
      </c>
      <c r="D602">
        <v>783990</v>
      </c>
      <c r="E602" t="s">
        <v>18</v>
      </c>
      <c r="F602">
        <v>17.917000000000002</v>
      </c>
      <c r="G602">
        <v>-76.183000000000007</v>
      </c>
      <c r="H602">
        <v>-5</v>
      </c>
      <c r="I602">
        <v>2</v>
      </c>
      <c r="J602" t="str">
        <f>HYPERLINK("https://climate.onebuilding.org/WMO_Region_4_North_and_Central_America/JAM_Jamaica/JAM_ST_Morant.Point.783990_TMYx.2007-2021.zip")</f>
        <v>https://climate.onebuilding.org/WMO_Region_4_North_and_Central_America/JAM_Jamaica/JAM_ST_Morant.Point.783990_TMYx.2007-2021.zip</v>
      </c>
    </row>
    <row r="603" spans="1:10" x14ac:dyDescent="0.25">
      <c r="A603" t="s">
        <v>374</v>
      </c>
      <c r="B603" t="s">
        <v>240</v>
      </c>
      <c r="C603" t="s">
        <v>382</v>
      </c>
      <c r="D603">
        <v>783990</v>
      </c>
      <c r="E603" t="s">
        <v>18</v>
      </c>
      <c r="F603">
        <v>17.917000000000002</v>
      </c>
      <c r="G603">
        <v>-76.183000000000007</v>
      </c>
      <c r="H603">
        <v>-5</v>
      </c>
      <c r="I603">
        <v>2</v>
      </c>
      <c r="J603" t="str">
        <f>HYPERLINK("https://climate.onebuilding.org/WMO_Region_4_North_and_Central_America/JAM_Jamaica/JAM_ST_Morant.Point.783990_TMYx.2009-2023.zip")</f>
        <v>https://climate.onebuilding.org/WMO_Region_4_North_and_Central_America/JAM_Jamaica/JAM_ST_Morant.Point.783990_TMYx.2009-2023.zip</v>
      </c>
    </row>
    <row r="604" spans="1:10" x14ac:dyDescent="0.25">
      <c r="A604" t="s">
        <v>374</v>
      </c>
      <c r="B604" t="s">
        <v>240</v>
      </c>
      <c r="C604" t="s">
        <v>382</v>
      </c>
      <c r="D604">
        <v>783990</v>
      </c>
      <c r="E604" t="s">
        <v>18</v>
      </c>
      <c r="F604">
        <v>17.917000000000002</v>
      </c>
      <c r="G604">
        <v>-76.183000000000007</v>
      </c>
      <c r="H604">
        <v>-5</v>
      </c>
      <c r="I604">
        <v>2</v>
      </c>
      <c r="J604" t="str">
        <f>HYPERLINK("https://climate.onebuilding.org/WMO_Region_4_North_and_Central_America/JAM_Jamaica/JAM_ST_Morant.Point.783990_TMYx.zip")</f>
        <v>https://climate.onebuilding.org/WMO_Region_4_North_and_Central_America/JAM_Jamaica/JAM_ST_Morant.Point.783990_TMYx.zip</v>
      </c>
    </row>
    <row r="605" spans="1:10" x14ac:dyDescent="0.25">
      <c r="A605" t="s">
        <v>383</v>
      </c>
      <c r="B605" t="s">
        <v>384</v>
      </c>
      <c r="C605" t="s">
        <v>385</v>
      </c>
      <c r="D605">
        <v>788570</v>
      </c>
      <c r="E605" t="s">
        <v>10</v>
      </c>
      <c r="F605">
        <v>17.283000000000001</v>
      </c>
      <c r="G605">
        <v>-62.732999999999997</v>
      </c>
      <c r="H605">
        <v>-4</v>
      </c>
      <c r="I605">
        <v>9</v>
      </c>
      <c r="J605" t="str">
        <f>HYPERLINK("https://climate.onebuilding.org/WMO_Region_4_North_and_Central_America/KNA_Saint_Kitts_and_Nevis/KNA_GB_Basseterre.788570_TMYx.zip")</f>
        <v>https://climate.onebuilding.org/WMO_Region_4_North_and_Central_America/KNA_Saint_Kitts_and_Nevis/KNA_GB_Basseterre.788570_TMYx.zip</v>
      </c>
    </row>
    <row r="606" spans="1:10" x14ac:dyDescent="0.25">
      <c r="A606" t="s">
        <v>383</v>
      </c>
      <c r="B606" t="s">
        <v>384</v>
      </c>
      <c r="C606" t="s">
        <v>386</v>
      </c>
      <c r="D606">
        <v>788580</v>
      </c>
      <c r="E606" t="s">
        <v>10</v>
      </c>
      <c r="F606">
        <v>17.311</v>
      </c>
      <c r="G606">
        <v>-62.719000000000001</v>
      </c>
      <c r="H606">
        <v>-4</v>
      </c>
      <c r="I606">
        <v>51.8</v>
      </c>
      <c r="J606" t="str">
        <f>HYPERLINK("https://climate.onebuilding.org/WMO_Region_4_North_and_Central_America/KNA_Saint_Kitts_and_Nevis/KNA_GB_Basseterre-Bradshaw.Intl.AP.788580_TMYx.2007-2021.zip")</f>
        <v>https://climate.onebuilding.org/WMO_Region_4_North_and_Central_America/KNA_Saint_Kitts_and_Nevis/KNA_GB_Basseterre-Bradshaw.Intl.AP.788580_TMYx.2007-2021.zip</v>
      </c>
    </row>
    <row r="607" spans="1:10" x14ac:dyDescent="0.25">
      <c r="A607" t="s">
        <v>383</v>
      </c>
      <c r="B607" t="s">
        <v>384</v>
      </c>
      <c r="C607" t="s">
        <v>386</v>
      </c>
      <c r="D607">
        <v>788580</v>
      </c>
      <c r="E607" t="s">
        <v>10</v>
      </c>
      <c r="F607">
        <v>17.311</v>
      </c>
      <c r="G607">
        <v>-62.719000000000001</v>
      </c>
      <c r="H607">
        <v>-4</v>
      </c>
      <c r="I607">
        <v>51.8</v>
      </c>
      <c r="J607" t="str">
        <f>HYPERLINK("https://climate.onebuilding.org/WMO_Region_4_North_and_Central_America/KNA_Saint_Kitts_and_Nevis/KNA_GB_Basseterre-Bradshaw.Intl.AP.788580_TMYx.2009-2023.zip")</f>
        <v>https://climate.onebuilding.org/WMO_Region_4_North_and_Central_America/KNA_Saint_Kitts_and_Nevis/KNA_GB_Basseterre-Bradshaw.Intl.AP.788580_TMYx.2009-2023.zip</v>
      </c>
    </row>
    <row r="608" spans="1:10" x14ac:dyDescent="0.25">
      <c r="A608" t="s">
        <v>383</v>
      </c>
      <c r="B608" t="s">
        <v>384</v>
      </c>
      <c r="C608" t="s">
        <v>386</v>
      </c>
      <c r="D608">
        <v>788580</v>
      </c>
      <c r="E608" t="s">
        <v>10</v>
      </c>
      <c r="F608">
        <v>17.311</v>
      </c>
      <c r="G608">
        <v>-62.719000000000001</v>
      </c>
      <c r="H608">
        <v>-4</v>
      </c>
      <c r="I608">
        <v>51.8</v>
      </c>
      <c r="J608" t="str">
        <f>HYPERLINK("https://climate.onebuilding.org/WMO_Region_4_North_and_Central_America/KNA_Saint_Kitts_and_Nevis/KNA_GB_Basseterre-Bradshaw.Intl.AP.788580_TMYx.zip")</f>
        <v>https://climate.onebuilding.org/WMO_Region_4_North_and_Central_America/KNA_Saint_Kitts_and_Nevis/KNA_GB_Basseterre-Bradshaw.Intl.AP.788580_TMYx.zip</v>
      </c>
    </row>
    <row r="609" spans="1:10" x14ac:dyDescent="0.25">
      <c r="A609" t="s">
        <v>383</v>
      </c>
      <c r="B609" t="s">
        <v>387</v>
      </c>
      <c r="C609" t="s">
        <v>388</v>
      </c>
      <c r="D609">
        <v>788590</v>
      </c>
      <c r="E609" t="s">
        <v>10</v>
      </c>
      <c r="F609">
        <v>17.206</v>
      </c>
      <c r="G609">
        <v>-62.59</v>
      </c>
      <c r="H609">
        <v>-4</v>
      </c>
      <c r="I609">
        <v>4.3</v>
      </c>
      <c r="J609" t="str">
        <f>HYPERLINK("https://climate.onebuilding.org/WMO_Region_4_North_and_Central_America/KNA_Saint_Kitts_and_Nevis/KNA_JW_Newcastle-Nevis-Amory.Intl.AP.788590_TMYx.2007-2021.zip")</f>
        <v>https://climate.onebuilding.org/WMO_Region_4_North_and_Central_America/KNA_Saint_Kitts_and_Nevis/KNA_JW_Newcastle-Nevis-Amory.Intl.AP.788590_TMYx.2007-2021.zip</v>
      </c>
    </row>
    <row r="610" spans="1:10" x14ac:dyDescent="0.25">
      <c r="A610" t="s">
        <v>383</v>
      </c>
      <c r="B610" t="s">
        <v>387</v>
      </c>
      <c r="C610" t="s">
        <v>388</v>
      </c>
      <c r="D610">
        <v>788590</v>
      </c>
      <c r="E610" t="s">
        <v>10</v>
      </c>
      <c r="F610">
        <v>17.206</v>
      </c>
      <c r="G610">
        <v>-62.59</v>
      </c>
      <c r="H610">
        <v>-4</v>
      </c>
      <c r="I610">
        <v>4.3</v>
      </c>
      <c r="J610" t="str">
        <f>HYPERLINK("https://climate.onebuilding.org/WMO_Region_4_North_and_Central_America/KNA_Saint_Kitts_and_Nevis/KNA_JW_Newcastle-Nevis-Amory.Intl.AP.788590_TMYx.2009-2023.zip")</f>
        <v>https://climate.onebuilding.org/WMO_Region_4_North_and_Central_America/KNA_Saint_Kitts_and_Nevis/KNA_JW_Newcastle-Nevis-Amory.Intl.AP.788590_TMYx.2009-2023.zip</v>
      </c>
    </row>
    <row r="611" spans="1:10" x14ac:dyDescent="0.25">
      <c r="A611" t="s">
        <v>383</v>
      </c>
      <c r="B611" t="s">
        <v>387</v>
      </c>
      <c r="C611" t="s">
        <v>388</v>
      </c>
      <c r="D611">
        <v>788590</v>
      </c>
      <c r="E611" t="s">
        <v>10</v>
      </c>
      <c r="F611">
        <v>17.206</v>
      </c>
      <c r="G611">
        <v>-62.59</v>
      </c>
      <c r="H611">
        <v>-4</v>
      </c>
      <c r="I611">
        <v>4.3</v>
      </c>
      <c r="J611" t="str">
        <f>HYPERLINK("https://climate.onebuilding.org/WMO_Region_4_North_and_Central_America/KNA_Saint_Kitts_and_Nevis/KNA_JW_Newcastle-Nevis-Amory.Intl.AP.788590_TMYx.zip")</f>
        <v>https://climate.onebuilding.org/WMO_Region_4_North_and_Central_America/KNA_Saint_Kitts_and_Nevis/KNA_JW_Newcastle-Nevis-Amory.Intl.AP.788590_TMYx.zip</v>
      </c>
    </row>
    <row r="612" spans="1:10" x14ac:dyDescent="0.25">
      <c r="A612" t="s">
        <v>389</v>
      </c>
      <c r="B612" t="s">
        <v>390</v>
      </c>
      <c r="C612" t="s">
        <v>391</v>
      </c>
      <c r="D612">
        <v>789460</v>
      </c>
      <c r="E612" t="s">
        <v>10</v>
      </c>
      <c r="F612">
        <v>14.032999999999999</v>
      </c>
      <c r="G612">
        <v>-61.017000000000003</v>
      </c>
      <c r="H612">
        <v>-4</v>
      </c>
      <c r="I612">
        <v>55</v>
      </c>
      <c r="J612" t="str">
        <f>HYPERLINK("https://climate.onebuilding.org/WMO_Region_4_North_and_Central_America/LCA_Saint_Lucia/LCA_CS_Castries.789460_TMYx.zip")</f>
        <v>https://climate.onebuilding.org/WMO_Region_4_North_and_Central_America/LCA_Saint_Lucia/LCA_CS_Castries.789460_TMYx.zip</v>
      </c>
    </row>
    <row r="613" spans="1:10" x14ac:dyDescent="0.25">
      <c r="A613" t="s">
        <v>389</v>
      </c>
      <c r="B613" t="s">
        <v>390</v>
      </c>
      <c r="C613" t="s">
        <v>392</v>
      </c>
      <c r="D613">
        <v>789470</v>
      </c>
      <c r="E613" t="s">
        <v>10</v>
      </c>
      <c r="F613">
        <v>14.02</v>
      </c>
      <c r="G613">
        <v>-60.993000000000002</v>
      </c>
      <c r="H613">
        <v>-4</v>
      </c>
      <c r="I613">
        <v>6.7</v>
      </c>
      <c r="J613" t="str">
        <f>HYPERLINK("https://climate.onebuilding.org/WMO_Region_4_North_and_Central_America/LCA_Saint_Lucia/LCA_CS_Castries-Charles.AP.789470_TMYx.2007-2021.zip")</f>
        <v>https://climate.onebuilding.org/WMO_Region_4_North_and_Central_America/LCA_Saint_Lucia/LCA_CS_Castries-Charles.AP.789470_TMYx.2007-2021.zip</v>
      </c>
    </row>
    <row r="614" spans="1:10" x14ac:dyDescent="0.25">
      <c r="A614" t="s">
        <v>389</v>
      </c>
      <c r="B614" t="s">
        <v>390</v>
      </c>
      <c r="C614" t="s">
        <v>392</v>
      </c>
      <c r="D614">
        <v>789470</v>
      </c>
      <c r="E614" t="s">
        <v>10</v>
      </c>
      <c r="F614">
        <v>14.02</v>
      </c>
      <c r="G614">
        <v>-60.993000000000002</v>
      </c>
      <c r="H614">
        <v>-4</v>
      </c>
      <c r="I614">
        <v>6.7</v>
      </c>
      <c r="J614" t="str">
        <f>HYPERLINK("https://climate.onebuilding.org/WMO_Region_4_North_and_Central_America/LCA_Saint_Lucia/LCA_CS_Castries-Charles.AP.789470_TMYx.2009-2023.zip")</f>
        <v>https://climate.onebuilding.org/WMO_Region_4_North_and_Central_America/LCA_Saint_Lucia/LCA_CS_Castries-Charles.AP.789470_TMYx.2009-2023.zip</v>
      </c>
    </row>
    <row r="615" spans="1:10" x14ac:dyDescent="0.25">
      <c r="A615" t="s">
        <v>389</v>
      </c>
      <c r="B615" t="s">
        <v>390</v>
      </c>
      <c r="C615" t="s">
        <v>392</v>
      </c>
      <c r="D615">
        <v>789470</v>
      </c>
      <c r="E615" t="s">
        <v>10</v>
      </c>
      <c r="F615">
        <v>14.02</v>
      </c>
      <c r="G615">
        <v>-60.993000000000002</v>
      </c>
      <c r="H615">
        <v>-4</v>
      </c>
      <c r="I615">
        <v>6.7</v>
      </c>
      <c r="J615" t="str">
        <f>HYPERLINK("https://climate.onebuilding.org/WMO_Region_4_North_and_Central_America/LCA_Saint_Lucia/LCA_CS_Castries-Charles.AP.789470_TMYx.zip")</f>
        <v>https://climate.onebuilding.org/WMO_Region_4_North_and_Central_America/LCA_Saint_Lucia/LCA_CS_Castries-Charles.AP.789470_TMYx.zip</v>
      </c>
    </row>
    <row r="616" spans="1:10" x14ac:dyDescent="0.25">
      <c r="A616" t="s">
        <v>389</v>
      </c>
      <c r="B616" t="s">
        <v>393</v>
      </c>
      <c r="C616" t="s">
        <v>394</v>
      </c>
      <c r="D616">
        <v>789480</v>
      </c>
      <c r="E616" t="s">
        <v>395</v>
      </c>
      <c r="F616">
        <v>13.733000000000001</v>
      </c>
      <c r="G616">
        <v>-60.953000000000003</v>
      </c>
      <c r="H616">
        <v>-4</v>
      </c>
      <c r="I616">
        <v>4.3</v>
      </c>
      <c r="J616" t="str">
        <f>HYPERLINK("https://climate.onebuilding.org/WMO_Region_4_North_and_Central_America/LCA_Saint_Lucia/LCA_VF_Hewanorra.Intl.AP.789480_TMYx.2004-2018.zip")</f>
        <v>https://climate.onebuilding.org/WMO_Region_4_North_and_Central_America/LCA_Saint_Lucia/LCA_VF_Hewanorra.Intl.AP.789480_TMYx.2004-2018.zip</v>
      </c>
    </row>
    <row r="617" spans="1:10" x14ac:dyDescent="0.25">
      <c r="A617" t="s">
        <v>389</v>
      </c>
      <c r="B617" t="s">
        <v>393</v>
      </c>
      <c r="C617" t="s">
        <v>394</v>
      </c>
      <c r="D617">
        <v>789480</v>
      </c>
      <c r="E617" t="s">
        <v>10</v>
      </c>
      <c r="F617">
        <v>13.7369</v>
      </c>
      <c r="G617">
        <v>-60.951500000000003</v>
      </c>
      <c r="H617">
        <v>-4</v>
      </c>
      <c r="I617">
        <v>4.3</v>
      </c>
      <c r="J617" t="str">
        <f>HYPERLINK("https://climate.onebuilding.org/WMO_Region_4_North_and_Central_America/LCA_Saint_Lucia/LCA_VF_Hewanorra.Intl.AP.789480_TMYx.2007-2021.zip")</f>
        <v>https://climate.onebuilding.org/WMO_Region_4_North_and_Central_America/LCA_Saint_Lucia/LCA_VF_Hewanorra.Intl.AP.789480_TMYx.2007-2021.zip</v>
      </c>
    </row>
    <row r="618" spans="1:10" x14ac:dyDescent="0.25">
      <c r="A618" t="s">
        <v>389</v>
      </c>
      <c r="B618" t="s">
        <v>393</v>
      </c>
      <c r="C618" t="s">
        <v>394</v>
      </c>
      <c r="D618">
        <v>789480</v>
      </c>
      <c r="E618" t="s">
        <v>10</v>
      </c>
      <c r="F618">
        <v>13.7369</v>
      </c>
      <c r="G618">
        <v>-60.951500000000003</v>
      </c>
      <c r="H618">
        <v>-4</v>
      </c>
      <c r="I618">
        <v>4.3</v>
      </c>
      <c r="J618" t="str">
        <f>HYPERLINK("https://climate.onebuilding.org/WMO_Region_4_North_and_Central_America/LCA_Saint_Lucia/LCA_VF_Hewanorra.Intl.AP.789480_TMYx.2009-2023.zip")</f>
        <v>https://climate.onebuilding.org/WMO_Region_4_North_and_Central_America/LCA_Saint_Lucia/LCA_VF_Hewanorra.Intl.AP.789480_TMYx.2009-2023.zip</v>
      </c>
    </row>
    <row r="619" spans="1:10" x14ac:dyDescent="0.25">
      <c r="A619" t="s">
        <v>389</v>
      </c>
      <c r="B619" t="s">
        <v>393</v>
      </c>
      <c r="C619" t="s">
        <v>394</v>
      </c>
      <c r="D619">
        <v>789480</v>
      </c>
      <c r="E619" t="s">
        <v>10</v>
      </c>
      <c r="F619">
        <v>13.7369</v>
      </c>
      <c r="G619">
        <v>-60.951500000000003</v>
      </c>
      <c r="H619">
        <v>-4</v>
      </c>
      <c r="I619">
        <v>4.3</v>
      </c>
      <c r="J619" t="str">
        <f>HYPERLINK("https://climate.onebuilding.org/WMO_Region_4_North_and_Central_America/LCA_Saint_Lucia/LCA_VF_Hewanorra.Intl.AP.789480_TMYx.zip")</f>
        <v>https://climate.onebuilding.org/WMO_Region_4_North_and_Central_America/LCA_Saint_Lucia/LCA_VF_Hewanorra.Intl.AP.789480_TMYx.zip</v>
      </c>
    </row>
    <row r="620" spans="1:10" x14ac:dyDescent="0.25">
      <c r="A620" t="s">
        <v>396</v>
      </c>
      <c r="B620" t="s">
        <v>235</v>
      </c>
      <c r="C620" t="s">
        <v>397</v>
      </c>
      <c r="D620">
        <v>788660</v>
      </c>
      <c r="E620" t="s">
        <v>398</v>
      </c>
      <c r="F620">
        <v>18.071000000000002</v>
      </c>
      <c r="G620">
        <v>-63.087000000000003</v>
      </c>
      <c r="H620">
        <v>-4</v>
      </c>
      <c r="I620">
        <v>4.3</v>
      </c>
      <c r="J620" t="str">
        <f>HYPERLINK("https://climate.onebuilding.org/WMO_Region_4_North_and_Central_America/MAF_Saint_Martin/MAF_SM_Marigot-Juliana.Intl.AP.788660_TMYx.2004-2018.zip")</f>
        <v>https://climate.onebuilding.org/WMO_Region_4_North_and_Central_America/MAF_Saint_Martin/MAF_SM_Marigot-Juliana.Intl.AP.788660_TMYx.2004-2018.zip</v>
      </c>
    </row>
    <row r="621" spans="1:10" x14ac:dyDescent="0.25">
      <c r="A621" t="s">
        <v>396</v>
      </c>
      <c r="B621" t="s">
        <v>235</v>
      </c>
      <c r="C621" t="s">
        <v>397</v>
      </c>
      <c r="D621">
        <v>788660</v>
      </c>
      <c r="E621" t="s">
        <v>10</v>
      </c>
      <c r="F621">
        <v>18.071000000000002</v>
      </c>
      <c r="G621">
        <v>-63.087000000000003</v>
      </c>
      <c r="H621">
        <v>-4</v>
      </c>
      <c r="I621">
        <v>4.3</v>
      </c>
      <c r="J621" t="str">
        <f>HYPERLINK("https://climate.onebuilding.org/WMO_Region_4_North_and_Central_America/MAF_Saint_Martin/MAF_SM_Marigot-Juliana.Intl.AP.788660_TMYx.2007-2021.zip")</f>
        <v>https://climate.onebuilding.org/WMO_Region_4_North_and_Central_America/MAF_Saint_Martin/MAF_SM_Marigot-Juliana.Intl.AP.788660_TMYx.2007-2021.zip</v>
      </c>
    </row>
    <row r="622" spans="1:10" x14ac:dyDescent="0.25">
      <c r="A622" t="s">
        <v>396</v>
      </c>
      <c r="B622" t="s">
        <v>235</v>
      </c>
      <c r="C622" t="s">
        <v>397</v>
      </c>
      <c r="D622">
        <v>788660</v>
      </c>
      <c r="E622" t="s">
        <v>10</v>
      </c>
      <c r="F622">
        <v>18.071000000000002</v>
      </c>
      <c r="G622">
        <v>-63.087000000000003</v>
      </c>
      <c r="H622">
        <v>-4</v>
      </c>
      <c r="I622">
        <v>4.3</v>
      </c>
      <c r="J622" t="str">
        <f>HYPERLINK("https://climate.onebuilding.org/WMO_Region_4_North_and_Central_America/MAF_Saint_Martin/MAF_SM_Marigot-Juliana.Intl.AP.788660_TMYx.2009-2023.zip")</f>
        <v>https://climate.onebuilding.org/WMO_Region_4_North_and_Central_America/MAF_Saint_Martin/MAF_SM_Marigot-Juliana.Intl.AP.788660_TMYx.2009-2023.zip</v>
      </c>
    </row>
    <row r="623" spans="1:10" x14ac:dyDescent="0.25">
      <c r="A623" t="s">
        <v>396</v>
      </c>
      <c r="B623" t="s">
        <v>235</v>
      </c>
      <c r="C623" t="s">
        <v>397</v>
      </c>
      <c r="D623">
        <v>788660</v>
      </c>
      <c r="E623" t="s">
        <v>10</v>
      </c>
      <c r="F623">
        <v>18.071000000000002</v>
      </c>
      <c r="G623">
        <v>-63.087000000000003</v>
      </c>
      <c r="H623">
        <v>-4</v>
      </c>
      <c r="I623">
        <v>4.3</v>
      </c>
      <c r="J623" t="str">
        <f>HYPERLINK("https://climate.onebuilding.org/WMO_Region_4_North_and_Central_America/MAF_Saint_Martin/MAF_SM_Marigot-Juliana.Intl.AP.788660_TMYx.zip")</f>
        <v>https://climate.onebuilding.org/WMO_Region_4_North_and_Central_America/MAF_Saint_Martin/MAF_SM_Marigot-Juliana.Intl.AP.788660_TMYx.zip</v>
      </c>
    </row>
    <row r="624" spans="1:10" x14ac:dyDescent="0.25">
      <c r="A624" t="s">
        <v>399</v>
      </c>
      <c r="B624" t="s">
        <v>400</v>
      </c>
      <c r="C624" t="s">
        <v>401</v>
      </c>
      <c r="D624">
        <v>760013</v>
      </c>
      <c r="E624" t="s">
        <v>402</v>
      </c>
      <c r="F624">
        <v>32.540999999999997</v>
      </c>
      <c r="G624">
        <v>-116.97</v>
      </c>
      <c r="H624">
        <v>-8</v>
      </c>
      <c r="I624">
        <v>149</v>
      </c>
      <c r="J624" t="str">
        <f>HYPERLINK("https://climate.onebuilding.org/WMO_Region_4_North_and_Central_America/MEX_Mexico/BCN_Baja_California/MEX_BCN_Tijuana-Rodriguez.Intl.AP.760013_TMYx.2004-2018.zip")</f>
        <v>https://climate.onebuilding.org/WMO_Region_4_North_and_Central_America/MEX_Mexico/BCN_Baja_California/MEX_BCN_Tijuana-Rodriguez.Intl.AP.760013_TMYx.2004-2018.zip</v>
      </c>
    </row>
    <row r="625" spans="1:10" x14ac:dyDescent="0.25">
      <c r="A625" t="s">
        <v>399</v>
      </c>
      <c r="B625" t="s">
        <v>400</v>
      </c>
      <c r="C625" t="s">
        <v>401</v>
      </c>
      <c r="D625">
        <v>760013</v>
      </c>
      <c r="E625" t="s">
        <v>10</v>
      </c>
      <c r="F625">
        <v>32.540999999999997</v>
      </c>
      <c r="G625">
        <v>-116.97</v>
      </c>
      <c r="H625">
        <v>-8</v>
      </c>
      <c r="I625">
        <v>149</v>
      </c>
      <c r="J625" t="str">
        <f>HYPERLINK("https://climate.onebuilding.org/WMO_Region_4_North_and_Central_America/MEX_Mexico/BCN_Baja_California/MEX_BCN_Tijuana-Rodriguez.Intl.AP.760013_TMYx.2007-2021.zip")</f>
        <v>https://climate.onebuilding.org/WMO_Region_4_North_and_Central_America/MEX_Mexico/BCN_Baja_California/MEX_BCN_Tijuana-Rodriguez.Intl.AP.760013_TMYx.2007-2021.zip</v>
      </c>
    </row>
    <row r="626" spans="1:10" x14ac:dyDescent="0.25">
      <c r="A626" t="s">
        <v>399</v>
      </c>
      <c r="B626" t="s">
        <v>400</v>
      </c>
      <c r="C626" t="s">
        <v>401</v>
      </c>
      <c r="D626">
        <v>760013</v>
      </c>
      <c r="E626" t="s">
        <v>10</v>
      </c>
      <c r="F626">
        <v>32.540999999999997</v>
      </c>
      <c r="G626">
        <v>-116.97</v>
      </c>
      <c r="H626">
        <v>-8</v>
      </c>
      <c r="I626">
        <v>149</v>
      </c>
      <c r="J626" t="str">
        <f>HYPERLINK("https://climate.onebuilding.org/WMO_Region_4_North_and_Central_America/MEX_Mexico/BCN_Baja_California/MEX_BCN_Tijuana-Rodriguez.Intl.AP.760013_TMYx.2009-2023.zip")</f>
        <v>https://climate.onebuilding.org/WMO_Region_4_North_and_Central_America/MEX_Mexico/BCN_Baja_California/MEX_BCN_Tijuana-Rodriguez.Intl.AP.760013_TMYx.2009-2023.zip</v>
      </c>
    </row>
    <row r="627" spans="1:10" x14ac:dyDescent="0.25">
      <c r="A627" t="s">
        <v>399</v>
      </c>
      <c r="B627" t="s">
        <v>400</v>
      </c>
      <c r="C627" t="s">
        <v>401</v>
      </c>
      <c r="D627">
        <v>760013</v>
      </c>
      <c r="E627" t="s">
        <v>10</v>
      </c>
      <c r="F627">
        <v>32.540999999999997</v>
      </c>
      <c r="G627">
        <v>-116.97</v>
      </c>
      <c r="H627">
        <v>-8</v>
      </c>
      <c r="I627">
        <v>149</v>
      </c>
      <c r="J627" t="str">
        <f>HYPERLINK("https://climate.onebuilding.org/WMO_Region_4_North_and_Central_America/MEX_Mexico/BCN_Baja_California/MEX_BCN_Tijuana-Rodriguez.Intl.AP.760013_TMYx.zip")</f>
        <v>https://climate.onebuilding.org/WMO_Region_4_North_and_Central_America/MEX_Mexico/BCN_Baja_California/MEX_BCN_Tijuana-Rodriguez.Intl.AP.760013_TMYx.zip</v>
      </c>
    </row>
    <row r="628" spans="1:10" x14ac:dyDescent="0.25">
      <c r="A628" t="s">
        <v>399</v>
      </c>
      <c r="B628" t="s">
        <v>400</v>
      </c>
      <c r="C628" t="s">
        <v>403</v>
      </c>
      <c r="D628">
        <v>760053</v>
      </c>
      <c r="E628" t="s">
        <v>404</v>
      </c>
      <c r="F628">
        <v>32.631</v>
      </c>
      <c r="G628">
        <v>-115.242</v>
      </c>
      <c r="H628">
        <v>-8</v>
      </c>
      <c r="I628">
        <v>22.6</v>
      </c>
      <c r="J628" t="str">
        <f>HYPERLINK("https://climate.onebuilding.org/WMO_Region_4_North_and_Central_America/MEX_Mexico/BCN_Baja_California/MEX_BCN_Mexicali-Taboada.Intl.AP.760053_TMYx.2004-2018.zip")</f>
        <v>https://climate.onebuilding.org/WMO_Region_4_North_and_Central_America/MEX_Mexico/BCN_Baja_California/MEX_BCN_Mexicali-Taboada.Intl.AP.760053_TMYx.2004-2018.zip</v>
      </c>
    </row>
    <row r="629" spans="1:10" x14ac:dyDescent="0.25">
      <c r="A629" t="s">
        <v>399</v>
      </c>
      <c r="B629" t="s">
        <v>400</v>
      </c>
      <c r="C629" t="s">
        <v>403</v>
      </c>
      <c r="D629">
        <v>760053</v>
      </c>
      <c r="E629" t="s">
        <v>10</v>
      </c>
      <c r="F629">
        <v>32.631</v>
      </c>
      <c r="G629">
        <v>-115.242</v>
      </c>
      <c r="H629">
        <v>-8</v>
      </c>
      <c r="I629">
        <v>22.6</v>
      </c>
      <c r="J629" t="str">
        <f>HYPERLINK("https://climate.onebuilding.org/WMO_Region_4_North_and_Central_America/MEX_Mexico/BCN_Baja_California/MEX_BCN_Mexicali-Taboada.Intl.AP.760053_TMYx.2007-2021.zip")</f>
        <v>https://climate.onebuilding.org/WMO_Region_4_North_and_Central_America/MEX_Mexico/BCN_Baja_California/MEX_BCN_Mexicali-Taboada.Intl.AP.760053_TMYx.2007-2021.zip</v>
      </c>
    </row>
    <row r="630" spans="1:10" x14ac:dyDescent="0.25">
      <c r="A630" t="s">
        <v>399</v>
      </c>
      <c r="B630" t="s">
        <v>400</v>
      </c>
      <c r="C630" t="s">
        <v>403</v>
      </c>
      <c r="D630">
        <v>760053</v>
      </c>
      <c r="E630" t="s">
        <v>10</v>
      </c>
      <c r="F630">
        <v>32.631</v>
      </c>
      <c r="G630">
        <v>-115.242</v>
      </c>
      <c r="H630">
        <v>-8</v>
      </c>
      <c r="I630">
        <v>22.6</v>
      </c>
      <c r="J630" t="str">
        <f>HYPERLINK("https://climate.onebuilding.org/WMO_Region_4_North_and_Central_America/MEX_Mexico/BCN_Baja_California/MEX_BCN_Mexicali-Taboada.Intl.AP.760053_TMYx.2009-2023.zip")</f>
        <v>https://climate.onebuilding.org/WMO_Region_4_North_and_Central_America/MEX_Mexico/BCN_Baja_California/MEX_BCN_Mexicali-Taboada.Intl.AP.760053_TMYx.2009-2023.zip</v>
      </c>
    </row>
    <row r="631" spans="1:10" x14ac:dyDescent="0.25">
      <c r="A631" t="s">
        <v>399</v>
      </c>
      <c r="B631" t="s">
        <v>400</v>
      </c>
      <c r="C631" t="s">
        <v>403</v>
      </c>
      <c r="D631">
        <v>760053</v>
      </c>
      <c r="E631" t="s">
        <v>10</v>
      </c>
      <c r="F631">
        <v>32.631</v>
      </c>
      <c r="G631">
        <v>-115.242</v>
      </c>
      <c r="H631">
        <v>-8</v>
      </c>
      <c r="I631">
        <v>22.6</v>
      </c>
      <c r="J631" t="str">
        <f>HYPERLINK("https://climate.onebuilding.org/WMO_Region_4_North_and_Central_America/MEX_Mexico/BCN_Baja_California/MEX_BCN_Mexicali-Taboada.Intl.AP.760053_TMYx.zip")</f>
        <v>https://climate.onebuilding.org/WMO_Region_4_North_and_Central_America/MEX_Mexico/BCN_Baja_California/MEX_BCN_Mexicali-Taboada.Intl.AP.760053_TMYx.zip</v>
      </c>
    </row>
    <row r="632" spans="1:10" x14ac:dyDescent="0.25">
      <c r="A632" t="s">
        <v>399</v>
      </c>
      <c r="B632" t="s">
        <v>400</v>
      </c>
      <c r="C632" t="s">
        <v>405</v>
      </c>
      <c r="D632">
        <v>760400</v>
      </c>
      <c r="E632" t="s">
        <v>406</v>
      </c>
      <c r="F632">
        <v>32.4</v>
      </c>
      <c r="G632">
        <v>-115.18300000000001</v>
      </c>
      <c r="H632">
        <v>-8</v>
      </c>
      <c r="I632">
        <v>11</v>
      </c>
      <c r="J632" t="str">
        <f>HYPERLINK("https://climate.onebuilding.org/WMO_Region_4_North_and_Central_America/MEX_Mexico/BCN_Baja_California/MEX_BCN_Nuevo.Leon.760400_TMYx.2004-2018.zip")</f>
        <v>https://climate.onebuilding.org/WMO_Region_4_North_and_Central_America/MEX_Mexico/BCN_Baja_California/MEX_BCN_Nuevo.Leon.760400_TMYx.2004-2018.zip</v>
      </c>
    </row>
    <row r="633" spans="1:10" x14ac:dyDescent="0.25">
      <c r="A633" t="s">
        <v>399</v>
      </c>
      <c r="B633" t="s">
        <v>400</v>
      </c>
      <c r="C633" t="s">
        <v>405</v>
      </c>
      <c r="D633">
        <v>760400</v>
      </c>
      <c r="E633" t="s">
        <v>10</v>
      </c>
      <c r="F633">
        <v>32.4</v>
      </c>
      <c r="G633">
        <v>-115.18300000000001</v>
      </c>
      <c r="H633">
        <v>-8</v>
      </c>
      <c r="I633">
        <v>11</v>
      </c>
      <c r="J633" t="str">
        <f>HYPERLINK("https://climate.onebuilding.org/WMO_Region_4_North_and_Central_America/MEX_Mexico/BCN_Baja_California/MEX_BCN_Nuevo.Leon.760400_TMYx.2007-2021.zip")</f>
        <v>https://climate.onebuilding.org/WMO_Region_4_North_and_Central_America/MEX_Mexico/BCN_Baja_California/MEX_BCN_Nuevo.Leon.760400_TMYx.2007-2021.zip</v>
      </c>
    </row>
    <row r="634" spans="1:10" x14ac:dyDescent="0.25">
      <c r="A634" t="s">
        <v>399</v>
      </c>
      <c r="B634" t="s">
        <v>400</v>
      </c>
      <c r="C634" t="s">
        <v>405</v>
      </c>
      <c r="D634">
        <v>760400</v>
      </c>
      <c r="E634" t="s">
        <v>10</v>
      </c>
      <c r="F634">
        <v>32.4</v>
      </c>
      <c r="G634">
        <v>-115.18300000000001</v>
      </c>
      <c r="H634">
        <v>-8</v>
      </c>
      <c r="I634">
        <v>11</v>
      </c>
      <c r="J634" t="str">
        <f>HYPERLINK("https://climate.onebuilding.org/WMO_Region_4_North_and_Central_America/MEX_Mexico/BCN_Baja_California/MEX_BCN_Nuevo.Leon.760400_TMYx.2009-2023.zip")</f>
        <v>https://climate.onebuilding.org/WMO_Region_4_North_and_Central_America/MEX_Mexico/BCN_Baja_California/MEX_BCN_Nuevo.Leon.760400_TMYx.2009-2023.zip</v>
      </c>
    </row>
    <row r="635" spans="1:10" x14ac:dyDescent="0.25">
      <c r="A635" t="s">
        <v>399</v>
      </c>
      <c r="B635" t="s">
        <v>400</v>
      </c>
      <c r="C635" t="s">
        <v>405</v>
      </c>
      <c r="D635">
        <v>760400</v>
      </c>
      <c r="E635" t="s">
        <v>10</v>
      </c>
      <c r="F635">
        <v>32.4</v>
      </c>
      <c r="G635">
        <v>-115.18300000000001</v>
      </c>
      <c r="H635">
        <v>-8</v>
      </c>
      <c r="I635">
        <v>11</v>
      </c>
      <c r="J635" t="str">
        <f>HYPERLINK("https://climate.onebuilding.org/WMO_Region_4_North_and_Central_America/MEX_Mexico/BCN_Baja_California/MEX_BCN_Nuevo.Leon.760400_TMYx.zip")</f>
        <v>https://climate.onebuilding.org/WMO_Region_4_North_and_Central_America/MEX_Mexico/BCN_Baja_California/MEX_BCN_Nuevo.Leon.760400_TMYx.zip</v>
      </c>
    </row>
    <row r="636" spans="1:10" x14ac:dyDescent="0.25">
      <c r="A636" t="s">
        <v>399</v>
      </c>
      <c r="B636" t="s">
        <v>400</v>
      </c>
      <c r="C636" t="s">
        <v>407</v>
      </c>
      <c r="D636">
        <v>760500</v>
      </c>
      <c r="E636" t="s">
        <v>10</v>
      </c>
      <c r="F636">
        <v>31.667000000000002</v>
      </c>
      <c r="G636">
        <v>-116.56699999999999</v>
      </c>
      <c r="H636">
        <v>-8</v>
      </c>
      <c r="I636">
        <v>10</v>
      </c>
      <c r="J636" t="str">
        <f>HYPERLINK("https://climate.onebuilding.org/WMO_Region_4_North_and_Central_America/MEX_Mexico/BCN_Baja_California/MEX_BCN_Ensenada.760500_TMYx.zip")</f>
        <v>https://climate.onebuilding.org/WMO_Region_4_North_and_Central_America/MEX_Mexico/BCN_Baja_California/MEX_BCN_Ensenada.760500_TMYx.zip</v>
      </c>
    </row>
    <row r="637" spans="1:10" x14ac:dyDescent="0.25">
      <c r="A637" t="s">
        <v>399</v>
      </c>
      <c r="B637" t="s">
        <v>400</v>
      </c>
      <c r="C637" t="s">
        <v>408</v>
      </c>
      <c r="D637">
        <v>760550</v>
      </c>
      <c r="E637" t="s">
        <v>409</v>
      </c>
      <c r="F637">
        <v>31.033000000000001</v>
      </c>
      <c r="G637">
        <v>-114.85</v>
      </c>
      <c r="H637">
        <v>-8</v>
      </c>
      <c r="I637">
        <v>15</v>
      </c>
      <c r="J637" t="str">
        <f>HYPERLINK("https://climate.onebuilding.org/WMO_Region_4_North_and_Central_America/MEX_Mexico/BCN_Baja_California/MEX_BCN_San.Felipe.760550_TMYx.2004-2018.zip")</f>
        <v>https://climate.onebuilding.org/WMO_Region_4_North_and_Central_America/MEX_Mexico/BCN_Baja_California/MEX_BCN_San.Felipe.760550_TMYx.2004-2018.zip</v>
      </c>
    </row>
    <row r="638" spans="1:10" x14ac:dyDescent="0.25">
      <c r="A638" t="s">
        <v>399</v>
      </c>
      <c r="B638" t="s">
        <v>400</v>
      </c>
      <c r="C638" t="s">
        <v>408</v>
      </c>
      <c r="D638">
        <v>760550</v>
      </c>
      <c r="E638" t="s">
        <v>10</v>
      </c>
      <c r="F638">
        <v>31.033000000000001</v>
      </c>
      <c r="G638">
        <v>-114.85</v>
      </c>
      <c r="H638">
        <v>-8</v>
      </c>
      <c r="I638">
        <v>15</v>
      </c>
      <c r="J638" t="str">
        <f>HYPERLINK("https://climate.onebuilding.org/WMO_Region_4_North_and_Central_America/MEX_Mexico/BCN_Baja_California/MEX_BCN_San.Felipe.760550_TMYx.2007-2021.zip")</f>
        <v>https://climate.onebuilding.org/WMO_Region_4_North_and_Central_America/MEX_Mexico/BCN_Baja_California/MEX_BCN_San.Felipe.760550_TMYx.2007-2021.zip</v>
      </c>
    </row>
    <row r="639" spans="1:10" x14ac:dyDescent="0.25">
      <c r="A639" t="s">
        <v>399</v>
      </c>
      <c r="B639" t="s">
        <v>400</v>
      </c>
      <c r="C639" t="s">
        <v>408</v>
      </c>
      <c r="D639">
        <v>760550</v>
      </c>
      <c r="E639" t="s">
        <v>10</v>
      </c>
      <c r="F639">
        <v>31.033000000000001</v>
      </c>
      <c r="G639">
        <v>-114.85</v>
      </c>
      <c r="H639">
        <v>-8</v>
      </c>
      <c r="I639">
        <v>15</v>
      </c>
      <c r="J639" t="str">
        <f>HYPERLINK("https://climate.onebuilding.org/WMO_Region_4_North_and_Central_America/MEX_Mexico/BCN_Baja_California/MEX_BCN_San.Felipe.760550_TMYx.2009-2023.zip")</f>
        <v>https://climate.onebuilding.org/WMO_Region_4_North_and_Central_America/MEX_Mexico/BCN_Baja_California/MEX_BCN_San.Felipe.760550_TMYx.2009-2023.zip</v>
      </c>
    </row>
    <row r="640" spans="1:10" x14ac:dyDescent="0.25">
      <c r="A640" t="s">
        <v>399</v>
      </c>
      <c r="B640" t="s">
        <v>400</v>
      </c>
      <c r="C640" t="s">
        <v>408</v>
      </c>
      <c r="D640">
        <v>760550</v>
      </c>
      <c r="E640" t="s">
        <v>10</v>
      </c>
      <c r="F640">
        <v>31.033000000000001</v>
      </c>
      <c r="G640">
        <v>-114.85</v>
      </c>
      <c r="H640">
        <v>-8</v>
      </c>
      <c r="I640">
        <v>15</v>
      </c>
      <c r="J640" t="str">
        <f>HYPERLINK("https://climate.onebuilding.org/WMO_Region_4_North_and_Central_America/MEX_Mexico/BCN_Baja_California/MEX_BCN_San.Felipe.760550_TMYx.zip")</f>
        <v>https://climate.onebuilding.org/WMO_Region_4_North_and_Central_America/MEX_Mexico/BCN_Baja_California/MEX_BCN_San.Felipe.760550_TMYx.zip</v>
      </c>
    </row>
    <row r="641" spans="1:10" x14ac:dyDescent="0.25">
      <c r="A641" t="s">
        <v>399</v>
      </c>
      <c r="B641" t="s">
        <v>410</v>
      </c>
      <c r="C641" t="s">
        <v>411</v>
      </c>
      <c r="D641">
        <v>760610</v>
      </c>
      <c r="E641" t="s">
        <v>412</v>
      </c>
      <c r="F641">
        <v>31.3</v>
      </c>
      <c r="G641">
        <v>-113.55</v>
      </c>
      <c r="H641">
        <v>-7</v>
      </c>
      <c r="I641">
        <v>62</v>
      </c>
      <c r="J641" t="str">
        <f>HYPERLINK("https://climate.onebuilding.org/WMO_Region_4_North_and_Central_America/MEX_Mexico/SON_Sonora/MEX_SON_Puerto.Penasco.760610_TMYx.2004-2018.zip")</f>
        <v>https://climate.onebuilding.org/WMO_Region_4_North_and_Central_America/MEX_Mexico/SON_Sonora/MEX_SON_Puerto.Penasco.760610_TMYx.2004-2018.zip</v>
      </c>
    </row>
    <row r="642" spans="1:10" x14ac:dyDescent="0.25">
      <c r="A642" t="s">
        <v>399</v>
      </c>
      <c r="B642" t="s">
        <v>410</v>
      </c>
      <c r="C642" t="s">
        <v>411</v>
      </c>
      <c r="D642">
        <v>760610</v>
      </c>
      <c r="E642" t="s">
        <v>10</v>
      </c>
      <c r="F642">
        <v>31.3</v>
      </c>
      <c r="G642">
        <v>-113.55</v>
      </c>
      <c r="H642">
        <v>-7</v>
      </c>
      <c r="I642">
        <v>62</v>
      </c>
      <c r="J642" t="str">
        <f>HYPERLINK("https://climate.onebuilding.org/WMO_Region_4_North_and_Central_America/MEX_Mexico/SON_Sonora/MEX_SON_Puerto.Penasco.760610_TMYx.2007-2021.zip")</f>
        <v>https://climate.onebuilding.org/WMO_Region_4_North_and_Central_America/MEX_Mexico/SON_Sonora/MEX_SON_Puerto.Penasco.760610_TMYx.2007-2021.zip</v>
      </c>
    </row>
    <row r="643" spans="1:10" x14ac:dyDescent="0.25">
      <c r="A643" t="s">
        <v>399</v>
      </c>
      <c r="B643" t="s">
        <v>410</v>
      </c>
      <c r="C643" t="s">
        <v>411</v>
      </c>
      <c r="D643">
        <v>760610</v>
      </c>
      <c r="E643" t="s">
        <v>10</v>
      </c>
      <c r="F643">
        <v>31.3</v>
      </c>
      <c r="G643">
        <v>-113.55</v>
      </c>
      <c r="H643">
        <v>-7</v>
      </c>
      <c r="I643">
        <v>62</v>
      </c>
      <c r="J643" t="str">
        <f>HYPERLINK("https://climate.onebuilding.org/WMO_Region_4_North_and_Central_America/MEX_Mexico/SON_Sonora/MEX_SON_Puerto.Penasco.760610_TMYx.2009-2023.zip")</f>
        <v>https://climate.onebuilding.org/WMO_Region_4_North_and_Central_America/MEX_Mexico/SON_Sonora/MEX_SON_Puerto.Penasco.760610_TMYx.2009-2023.zip</v>
      </c>
    </row>
    <row r="644" spans="1:10" x14ac:dyDescent="0.25">
      <c r="A644" t="s">
        <v>399</v>
      </c>
      <c r="B644" t="s">
        <v>410</v>
      </c>
      <c r="C644" t="s">
        <v>411</v>
      </c>
      <c r="D644">
        <v>760610</v>
      </c>
      <c r="E644" t="s">
        <v>10</v>
      </c>
      <c r="F644">
        <v>31.3</v>
      </c>
      <c r="G644">
        <v>-113.55</v>
      </c>
      <c r="H644">
        <v>-7</v>
      </c>
      <c r="I644">
        <v>62</v>
      </c>
      <c r="J644" t="str">
        <f>HYPERLINK("https://climate.onebuilding.org/WMO_Region_4_North_and_Central_America/MEX_Mexico/SON_Sonora/MEX_SON_Puerto.Penasco.760610_TMYx.zip")</f>
        <v>https://climate.onebuilding.org/WMO_Region_4_North_and_Central_America/MEX_Mexico/SON_Sonora/MEX_SON_Puerto.Penasco.760610_TMYx.zip</v>
      </c>
    </row>
    <row r="645" spans="1:10" x14ac:dyDescent="0.25">
      <c r="A645" t="s">
        <v>399</v>
      </c>
      <c r="B645" t="s">
        <v>413</v>
      </c>
      <c r="C645" t="s">
        <v>414</v>
      </c>
      <c r="D645">
        <v>760753</v>
      </c>
      <c r="E645" t="s">
        <v>415</v>
      </c>
      <c r="F645">
        <v>31.635999999999999</v>
      </c>
      <c r="G645">
        <v>-106.429</v>
      </c>
      <c r="H645">
        <v>-7</v>
      </c>
      <c r="I645">
        <v>1189.9000000000001</v>
      </c>
      <c r="J645" t="str">
        <f>HYPERLINK("https://climate.onebuilding.org/WMO_Region_4_North_and_Central_America/MEX_Mexico/CHH_Chihuahua/MEX_CHH_Ciudad.Juarez-Gonzalez.Intl.AP.760753_TMYx.2004-2018.zip")</f>
        <v>https://climate.onebuilding.org/WMO_Region_4_North_and_Central_America/MEX_Mexico/CHH_Chihuahua/MEX_CHH_Ciudad.Juarez-Gonzalez.Intl.AP.760753_TMYx.2004-2018.zip</v>
      </c>
    </row>
    <row r="646" spans="1:10" x14ac:dyDescent="0.25">
      <c r="A646" t="s">
        <v>399</v>
      </c>
      <c r="B646" t="s">
        <v>413</v>
      </c>
      <c r="C646" t="s">
        <v>414</v>
      </c>
      <c r="D646">
        <v>760753</v>
      </c>
      <c r="E646" t="s">
        <v>10</v>
      </c>
      <c r="F646">
        <v>31.635999999999999</v>
      </c>
      <c r="G646">
        <v>-106.429</v>
      </c>
      <c r="H646">
        <v>-7</v>
      </c>
      <c r="I646">
        <v>1189.9000000000001</v>
      </c>
      <c r="J646" t="str">
        <f>HYPERLINK("https://climate.onebuilding.org/WMO_Region_4_North_and_Central_America/MEX_Mexico/CHH_Chihuahua/MEX_CHH_Ciudad.Juarez-Gonzalez.Intl.AP.760753_TMYx.2007-2021.zip")</f>
        <v>https://climate.onebuilding.org/WMO_Region_4_North_and_Central_America/MEX_Mexico/CHH_Chihuahua/MEX_CHH_Ciudad.Juarez-Gonzalez.Intl.AP.760753_TMYx.2007-2021.zip</v>
      </c>
    </row>
    <row r="647" spans="1:10" x14ac:dyDescent="0.25">
      <c r="A647" t="s">
        <v>399</v>
      </c>
      <c r="B647" t="s">
        <v>413</v>
      </c>
      <c r="C647" t="s">
        <v>414</v>
      </c>
      <c r="D647">
        <v>760753</v>
      </c>
      <c r="E647" t="s">
        <v>10</v>
      </c>
      <c r="F647">
        <v>31.635999999999999</v>
      </c>
      <c r="G647">
        <v>-106.429</v>
      </c>
      <c r="H647">
        <v>-7</v>
      </c>
      <c r="I647">
        <v>1189.9000000000001</v>
      </c>
      <c r="J647" t="str">
        <f>HYPERLINK("https://climate.onebuilding.org/WMO_Region_4_North_and_Central_America/MEX_Mexico/CHH_Chihuahua/MEX_CHH_Ciudad.Juarez-Gonzalez.Intl.AP.760753_TMYx.2009-2023.zip")</f>
        <v>https://climate.onebuilding.org/WMO_Region_4_North_and_Central_America/MEX_Mexico/CHH_Chihuahua/MEX_CHH_Ciudad.Juarez-Gonzalez.Intl.AP.760753_TMYx.2009-2023.zip</v>
      </c>
    </row>
    <row r="648" spans="1:10" x14ac:dyDescent="0.25">
      <c r="A648" t="s">
        <v>399</v>
      </c>
      <c r="B648" t="s">
        <v>413</v>
      </c>
      <c r="C648" t="s">
        <v>414</v>
      </c>
      <c r="D648">
        <v>760753</v>
      </c>
      <c r="E648" t="s">
        <v>10</v>
      </c>
      <c r="F648">
        <v>31.635999999999999</v>
      </c>
      <c r="G648">
        <v>-106.429</v>
      </c>
      <c r="H648">
        <v>-7</v>
      </c>
      <c r="I648">
        <v>1189.9000000000001</v>
      </c>
      <c r="J648" t="str">
        <f>HYPERLINK("https://climate.onebuilding.org/WMO_Region_4_North_and_Central_America/MEX_Mexico/CHH_Chihuahua/MEX_CHH_Ciudad.Juarez-Gonzalez.Intl.AP.760753_TMYx.zip")</f>
        <v>https://climate.onebuilding.org/WMO_Region_4_North_and_Central_America/MEX_Mexico/CHH_Chihuahua/MEX_CHH_Ciudad.Juarez-Gonzalez.Intl.AP.760753_TMYx.zip</v>
      </c>
    </row>
    <row r="649" spans="1:10" x14ac:dyDescent="0.25">
      <c r="A649" t="s">
        <v>399</v>
      </c>
      <c r="B649" t="s">
        <v>416</v>
      </c>
      <c r="C649" t="s">
        <v>417</v>
      </c>
      <c r="D649">
        <v>760754</v>
      </c>
      <c r="E649" t="s">
        <v>418</v>
      </c>
      <c r="F649">
        <v>16.739999999999998</v>
      </c>
      <c r="G649">
        <v>-93.173000000000002</v>
      </c>
      <c r="H649">
        <v>-6</v>
      </c>
      <c r="I649">
        <v>581.9</v>
      </c>
      <c r="J649" t="str">
        <f>HYPERLINK("https://climate.onebuilding.org/WMO_Region_4_North_and_Central_America/MEX_Mexico/CHP_Chiapas/MEX_CHP_Chiapa.de.Corzo-Corzo.Intl.AP.760754_TMYx.2004-2018.zip")</f>
        <v>https://climate.onebuilding.org/WMO_Region_4_North_and_Central_America/MEX_Mexico/CHP_Chiapas/MEX_CHP_Chiapa.de.Corzo-Corzo.Intl.AP.760754_TMYx.2004-2018.zip</v>
      </c>
    </row>
    <row r="650" spans="1:10" x14ac:dyDescent="0.25">
      <c r="A650" t="s">
        <v>399</v>
      </c>
      <c r="B650" t="s">
        <v>416</v>
      </c>
      <c r="C650" t="s">
        <v>417</v>
      </c>
      <c r="D650">
        <v>760754</v>
      </c>
      <c r="E650" t="s">
        <v>10</v>
      </c>
      <c r="F650">
        <v>16.739999999999998</v>
      </c>
      <c r="G650">
        <v>-93.173000000000002</v>
      </c>
      <c r="H650">
        <v>-6</v>
      </c>
      <c r="I650">
        <v>581.9</v>
      </c>
      <c r="J650" t="str">
        <f>HYPERLINK("https://climate.onebuilding.org/WMO_Region_4_North_and_Central_America/MEX_Mexico/CHP_Chiapas/MEX_CHP_Chiapa.de.Corzo-Corzo.Intl.AP.760754_TMYx.2007-2021.zip")</f>
        <v>https://climate.onebuilding.org/WMO_Region_4_North_and_Central_America/MEX_Mexico/CHP_Chiapas/MEX_CHP_Chiapa.de.Corzo-Corzo.Intl.AP.760754_TMYx.2007-2021.zip</v>
      </c>
    </row>
    <row r="651" spans="1:10" x14ac:dyDescent="0.25">
      <c r="A651" t="s">
        <v>399</v>
      </c>
      <c r="B651" t="s">
        <v>416</v>
      </c>
      <c r="C651" t="s">
        <v>417</v>
      </c>
      <c r="D651">
        <v>760754</v>
      </c>
      <c r="E651" t="s">
        <v>10</v>
      </c>
      <c r="F651">
        <v>16.739999999999998</v>
      </c>
      <c r="G651">
        <v>-93.173000000000002</v>
      </c>
      <c r="H651">
        <v>-6</v>
      </c>
      <c r="I651">
        <v>581.9</v>
      </c>
      <c r="J651" t="str">
        <f>HYPERLINK("https://climate.onebuilding.org/WMO_Region_4_North_and_Central_America/MEX_Mexico/CHP_Chiapas/MEX_CHP_Chiapa.de.Corzo-Corzo.Intl.AP.760754_TMYx.2009-2023.zip")</f>
        <v>https://climate.onebuilding.org/WMO_Region_4_North_and_Central_America/MEX_Mexico/CHP_Chiapas/MEX_CHP_Chiapa.de.Corzo-Corzo.Intl.AP.760754_TMYx.2009-2023.zip</v>
      </c>
    </row>
    <row r="652" spans="1:10" x14ac:dyDescent="0.25">
      <c r="A652" t="s">
        <v>399</v>
      </c>
      <c r="B652" t="s">
        <v>416</v>
      </c>
      <c r="C652" t="s">
        <v>417</v>
      </c>
      <c r="D652">
        <v>760754</v>
      </c>
      <c r="E652" t="s">
        <v>10</v>
      </c>
      <c r="F652">
        <v>16.739999999999998</v>
      </c>
      <c r="G652">
        <v>-93.173000000000002</v>
      </c>
      <c r="H652">
        <v>-6</v>
      </c>
      <c r="I652">
        <v>581.9</v>
      </c>
      <c r="J652" t="str">
        <f>HYPERLINK("https://climate.onebuilding.org/WMO_Region_4_North_and_Central_America/MEX_Mexico/CHP_Chiapas/MEX_CHP_Chiapa.de.Corzo-Corzo.Intl.AP.760754_TMYx.zip")</f>
        <v>https://climate.onebuilding.org/WMO_Region_4_North_and_Central_America/MEX_Mexico/CHP_Chiapas/MEX_CHP_Chiapa.de.Corzo-Corzo.Intl.AP.760754_TMYx.zip</v>
      </c>
    </row>
    <row r="653" spans="1:10" x14ac:dyDescent="0.25">
      <c r="A653" t="s">
        <v>399</v>
      </c>
      <c r="B653" t="s">
        <v>410</v>
      </c>
      <c r="C653" t="s">
        <v>419</v>
      </c>
      <c r="D653">
        <v>760801</v>
      </c>
      <c r="E653" t="s">
        <v>18</v>
      </c>
      <c r="F653">
        <v>31.229130000000001</v>
      </c>
      <c r="G653">
        <v>-110.97620000000001</v>
      </c>
      <c r="H653">
        <v>-7</v>
      </c>
      <c r="I653">
        <v>1251</v>
      </c>
      <c r="J653" t="str">
        <f>HYPERLINK("https://climate.onebuilding.org/WMO_Region_4_North_and_Central_America/MEX_Mexico/SON_Sonora/MEX_SON_Nogales.AP.760801_TMYx.2007-2021.zip")</f>
        <v>https://climate.onebuilding.org/WMO_Region_4_North_and_Central_America/MEX_Mexico/SON_Sonora/MEX_SON_Nogales.AP.760801_TMYx.2007-2021.zip</v>
      </c>
    </row>
    <row r="654" spans="1:10" x14ac:dyDescent="0.25">
      <c r="A654" t="s">
        <v>399</v>
      </c>
      <c r="B654" t="s">
        <v>410</v>
      </c>
      <c r="C654" t="s">
        <v>419</v>
      </c>
      <c r="D654">
        <v>760801</v>
      </c>
      <c r="E654" t="s">
        <v>18</v>
      </c>
      <c r="F654">
        <v>31.229130000000001</v>
      </c>
      <c r="G654">
        <v>-110.97620000000001</v>
      </c>
      <c r="H654">
        <v>-7</v>
      </c>
      <c r="I654">
        <v>1251</v>
      </c>
      <c r="J654" t="str">
        <f>HYPERLINK("https://climate.onebuilding.org/WMO_Region_4_North_and_Central_America/MEX_Mexico/SON_Sonora/MEX_SON_Nogales.AP.760801_TMYx.2009-2023.zip")</f>
        <v>https://climate.onebuilding.org/WMO_Region_4_North_and_Central_America/MEX_Mexico/SON_Sonora/MEX_SON_Nogales.AP.760801_TMYx.2009-2023.zip</v>
      </c>
    </row>
    <row r="655" spans="1:10" x14ac:dyDescent="0.25">
      <c r="A655" t="s">
        <v>399</v>
      </c>
      <c r="B655" t="s">
        <v>410</v>
      </c>
      <c r="C655" t="s">
        <v>419</v>
      </c>
      <c r="D655">
        <v>760801</v>
      </c>
      <c r="E655" t="s">
        <v>18</v>
      </c>
      <c r="F655">
        <v>31.229130000000001</v>
      </c>
      <c r="G655">
        <v>-110.97620000000001</v>
      </c>
      <c r="H655">
        <v>-7</v>
      </c>
      <c r="I655">
        <v>1251</v>
      </c>
      <c r="J655" t="str">
        <f>HYPERLINK("https://climate.onebuilding.org/WMO_Region_4_North_and_Central_America/MEX_Mexico/SON_Sonora/MEX_SON_Nogales.AP.760801_TMYx.zip")</f>
        <v>https://climate.onebuilding.org/WMO_Region_4_North_and_Central_America/MEX_Mexico/SON_Sonora/MEX_SON_Nogales.AP.760801_TMYx.zip</v>
      </c>
    </row>
    <row r="656" spans="1:10" x14ac:dyDescent="0.25">
      <c r="A656" t="s">
        <v>399</v>
      </c>
      <c r="B656" t="s">
        <v>410</v>
      </c>
      <c r="C656" t="s">
        <v>420</v>
      </c>
      <c r="D656">
        <v>761130</v>
      </c>
      <c r="E656" t="s">
        <v>421</v>
      </c>
      <c r="F656">
        <v>30.716999999999999</v>
      </c>
      <c r="G656">
        <v>-111.833</v>
      </c>
      <c r="H656">
        <v>-7</v>
      </c>
      <c r="I656">
        <v>398</v>
      </c>
      <c r="J656" t="str">
        <f>HYPERLINK("https://climate.onebuilding.org/WMO_Region_4_North_and_Central_America/MEX_Mexico/SON_Sonora/MEX_SON_Altar.761130_TMYx.2004-2018.zip")</f>
        <v>https://climate.onebuilding.org/WMO_Region_4_North_and_Central_America/MEX_Mexico/SON_Sonora/MEX_SON_Altar.761130_TMYx.2004-2018.zip</v>
      </c>
    </row>
    <row r="657" spans="1:10" x14ac:dyDescent="0.25">
      <c r="A657" t="s">
        <v>399</v>
      </c>
      <c r="B657" t="s">
        <v>410</v>
      </c>
      <c r="C657" t="s">
        <v>420</v>
      </c>
      <c r="D657">
        <v>761130</v>
      </c>
      <c r="E657" t="s">
        <v>10</v>
      </c>
      <c r="F657">
        <v>30.716999999999999</v>
      </c>
      <c r="G657">
        <v>-111.833</v>
      </c>
      <c r="H657">
        <v>-7</v>
      </c>
      <c r="I657">
        <v>398</v>
      </c>
      <c r="J657" t="str">
        <f>HYPERLINK("https://climate.onebuilding.org/WMO_Region_4_North_and_Central_America/MEX_Mexico/SON_Sonora/MEX_SON_Altar.761130_TMYx.2007-2021.zip")</f>
        <v>https://climate.onebuilding.org/WMO_Region_4_North_and_Central_America/MEX_Mexico/SON_Sonora/MEX_SON_Altar.761130_TMYx.2007-2021.zip</v>
      </c>
    </row>
    <row r="658" spans="1:10" x14ac:dyDescent="0.25">
      <c r="A658" t="s">
        <v>399</v>
      </c>
      <c r="B658" t="s">
        <v>410</v>
      </c>
      <c r="C658" t="s">
        <v>420</v>
      </c>
      <c r="D658">
        <v>761130</v>
      </c>
      <c r="E658" t="s">
        <v>10</v>
      </c>
      <c r="F658">
        <v>30.716999999999999</v>
      </c>
      <c r="G658">
        <v>-111.833</v>
      </c>
      <c r="H658">
        <v>-7</v>
      </c>
      <c r="I658">
        <v>398</v>
      </c>
      <c r="J658" t="str">
        <f>HYPERLINK("https://climate.onebuilding.org/WMO_Region_4_North_and_Central_America/MEX_Mexico/SON_Sonora/MEX_SON_Altar.761130_TMYx.2009-2023.zip")</f>
        <v>https://climate.onebuilding.org/WMO_Region_4_North_and_Central_America/MEX_Mexico/SON_Sonora/MEX_SON_Altar.761130_TMYx.2009-2023.zip</v>
      </c>
    </row>
    <row r="659" spans="1:10" x14ac:dyDescent="0.25">
      <c r="A659" t="s">
        <v>399</v>
      </c>
      <c r="B659" t="s">
        <v>410</v>
      </c>
      <c r="C659" t="s">
        <v>420</v>
      </c>
      <c r="D659">
        <v>761130</v>
      </c>
      <c r="E659" t="s">
        <v>10</v>
      </c>
      <c r="F659">
        <v>30.716999999999999</v>
      </c>
      <c r="G659">
        <v>-111.833</v>
      </c>
      <c r="H659">
        <v>-7</v>
      </c>
      <c r="I659">
        <v>398</v>
      </c>
      <c r="J659" t="str">
        <f>HYPERLINK("https://climate.onebuilding.org/WMO_Region_4_North_and_Central_America/MEX_Mexico/SON_Sonora/MEX_SON_Altar.761130_TMYx.zip")</f>
        <v>https://climate.onebuilding.org/WMO_Region_4_North_and_Central_America/MEX_Mexico/SON_Sonora/MEX_SON_Altar.761130_TMYx.zip</v>
      </c>
    </row>
    <row r="660" spans="1:10" x14ac:dyDescent="0.25">
      <c r="A660" t="s">
        <v>399</v>
      </c>
      <c r="B660" t="s">
        <v>410</v>
      </c>
      <c r="C660" t="s">
        <v>422</v>
      </c>
      <c r="D660">
        <v>761180</v>
      </c>
      <c r="E660" t="s">
        <v>10</v>
      </c>
      <c r="F660">
        <v>30.367000000000001</v>
      </c>
      <c r="G660">
        <v>-109.68300000000001</v>
      </c>
      <c r="H660">
        <v>-7</v>
      </c>
      <c r="I660">
        <v>1041</v>
      </c>
      <c r="J660" t="str">
        <f>HYPERLINK("https://climate.onebuilding.org/WMO_Region_4_North_and_Central_America/MEX_Mexico/SON_Sonora/MEX_SON_Nacozari.de.Garcia.761180_TMYx.zip")</f>
        <v>https://climate.onebuilding.org/WMO_Region_4_North_and_Central_America/MEX_Mexico/SON_Sonora/MEX_SON_Nacozari.de.Garcia.761180_TMYx.zip</v>
      </c>
    </row>
    <row r="661" spans="1:10" x14ac:dyDescent="0.25">
      <c r="A661" t="s">
        <v>399</v>
      </c>
      <c r="B661" t="s">
        <v>413</v>
      </c>
      <c r="C661" t="s">
        <v>423</v>
      </c>
      <c r="D661">
        <v>761220</v>
      </c>
      <c r="E661" t="s">
        <v>424</v>
      </c>
      <c r="F661">
        <v>30.367000000000001</v>
      </c>
      <c r="G661">
        <v>-107.95</v>
      </c>
      <c r="H661">
        <v>-7</v>
      </c>
      <c r="I661">
        <v>1487</v>
      </c>
      <c r="J661" t="str">
        <f>HYPERLINK("https://climate.onebuilding.org/WMO_Region_4_North_and_Central_America/MEX_Mexico/CHH_Chihuahua/MEX_CHH_Nueva.Casas.Grandes.761220_TMYx.2004-2018.zip")</f>
        <v>https://climate.onebuilding.org/WMO_Region_4_North_and_Central_America/MEX_Mexico/CHH_Chihuahua/MEX_CHH_Nueva.Casas.Grandes.761220_TMYx.2004-2018.zip</v>
      </c>
    </row>
    <row r="662" spans="1:10" x14ac:dyDescent="0.25">
      <c r="A662" t="s">
        <v>399</v>
      </c>
      <c r="B662" t="s">
        <v>413</v>
      </c>
      <c r="C662" t="s">
        <v>423</v>
      </c>
      <c r="D662">
        <v>761220</v>
      </c>
      <c r="E662" t="s">
        <v>10</v>
      </c>
      <c r="F662">
        <v>30.367000000000001</v>
      </c>
      <c r="G662">
        <v>-107.95</v>
      </c>
      <c r="H662">
        <v>-7</v>
      </c>
      <c r="I662">
        <v>1487</v>
      </c>
      <c r="J662" t="str">
        <f>HYPERLINK("https://climate.onebuilding.org/WMO_Region_4_North_and_Central_America/MEX_Mexico/CHH_Chihuahua/MEX_CHH_Nueva.Casas.Grandes.761220_TMYx.2007-2021.zip")</f>
        <v>https://climate.onebuilding.org/WMO_Region_4_North_and_Central_America/MEX_Mexico/CHH_Chihuahua/MEX_CHH_Nueva.Casas.Grandes.761220_TMYx.2007-2021.zip</v>
      </c>
    </row>
    <row r="663" spans="1:10" x14ac:dyDescent="0.25">
      <c r="A663" t="s">
        <v>399</v>
      </c>
      <c r="B663" t="s">
        <v>413</v>
      </c>
      <c r="C663" t="s">
        <v>423</v>
      </c>
      <c r="D663">
        <v>761220</v>
      </c>
      <c r="E663" t="s">
        <v>10</v>
      </c>
      <c r="F663">
        <v>30.367000000000001</v>
      </c>
      <c r="G663">
        <v>-107.95</v>
      </c>
      <c r="H663">
        <v>-7</v>
      </c>
      <c r="I663">
        <v>1487</v>
      </c>
      <c r="J663" t="str">
        <f>HYPERLINK("https://climate.onebuilding.org/WMO_Region_4_North_and_Central_America/MEX_Mexico/CHH_Chihuahua/MEX_CHH_Nueva.Casas.Grandes.761220_TMYx.2009-2023.zip")</f>
        <v>https://climate.onebuilding.org/WMO_Region_4_North_and_Central_America/MEX_Mexico/CHH_Chihuahua/MEX_CHH_Nueva.Casas.Grandes.761220_TMYx.2009-2023.zip</v>
      </c>
    </row>
    <row r="664" spans="1:10" x14ac:dyDescent="0.25">
      <c r="A664" t="s">
        <v>399</v>
      </c>
      <c r="B664" t="s">
        <v>413</v>
      </c>
      <c r="C664" t="s">
        <v>423</v>
      </c>
      <c r="D664">
        <v>761220</v>
      </c>
      <c r="E664" t="s">
        <v>10</v>
      </c>
      <c r="F664">
        <v>30.367000000000001</v>
      </c>
      <c r="G664">
        <v>-107.95</v>
      </c>
      <c r="H664">
        <v>-7</v>
      </c>
      <c r="I664">
        <v>1487</v>
      </c>
      <c r="J664" t="str">
        <f>HYPERLINK("https://climate.onebuilding.org/WMO_Region_4_North_and_Central_America/MEX_Mexico/CHH_Chihuahua/MEX_CHH_Nueva.Casas.Grandes.761220_TMYx.zip")</f>
        <v>https://climate.onebuilding.org/WMO_Region_4_North_and_Central_America/MEX_Mexico/CHH_Chihuahua/MEX_CHH_Nueva.Casas.Grandes.761220_TMYx.zip</v>
      </c>
    </row>
    <row r="665" spans="1:10" x14ac:dyDescent="0.25">
      <c r="A665" t="s">
        <v>399</v>
      </c>
      <c r="B665" t="s">
        <v>413</v>
      </c>
      <c r="C665" t="s">
        <v>425</v>
      </c>
      <c r="D665">
        <v>761300</v>
      </c>
      <c r="E665" t="s">
        <v>18</v>
      </c>
      <c r="F665">
        <v>30.617000000000001</v>
      </c>
      <c r="G665">
        <v>-106.517</v>
      </c>
      <c r="H665">
        <v>-7</v>
      </c>
      <c r="I665">
        <v>1181</v>
      </c>
      <c r="J665" t="str">
        <f>HYPERLINK("https://climate.onebuilding.org/WMO_Region_4_North_and_Central_America/MEX_Mexico/CHH_Chihuahua/MEX_CHH_Villa.Ahumada.761300_TMYx.2007-2021.zip")</f>
        <v>https://climate.onebuilding.org/WMO_Region_4_North_and_Central_America/MEX_Mexico/CHH_Chihuahua/MEX_CHH_Villa.Ahumada.761300_TMYx.2007-2021.zip</v>
      </c>
    </row>
    <row r="666" spans="1:10" x14ac:dyDescent="0.25">
      <c r="A666" t="s">
        <v>399</v>
      </c>
      <c r="B666" t="s">
        <v>413</v>
      </c>
      <c r="C666" t="s">
        <v>425</v>
      </c>
      <c r="D666">
        <v>761300</v>
      </c>
      <c r="E666" t="s">
        <v>18</v>
      </c>
      <c r="F666">
        <v>30.617000000000001</v>
      </c>
      <c r="G666">
        <v>-106.517</v>
      </c>
      <c r="H666">
        <v>-7</v>
      </c>
      <c r="I666">
        <v>1181</v>
      </c>
      <c r="J666" t="str">
        <f>HYPERLINK("https://climate.onebuilding.org/WMO_Region_4_North_and_Central_America/MEX_Mexico/CHH_Chihuahua/MEX_CHH_Villa.Ahumada.761300_TMYx.2009-2023.zip")</f>
        <v>https://climate.onebuilding.org/WMO_Region_4_North_and_Central_America/MEX_Mexico/CHH_Chihuahua/MEX_CHH_Villa.Ahumada.761300_TMYx.2009-2023.zip</v>
      </c>
    </row>
    <row r="667" spans="1:10" x14ac:dyDescent="0.25">
      <c r="A667" t="s">
        <v>399</v>
      </c>
      <c r="B667" t="s">
        <v>413</v>
      </c>
      <c r="C667" t="s">
        <v>425</v>
      </c>
      <c r="D667">
        <v>761300</v>
      </c>
      <c r="E667" t="s">
        <v>18</v>
      </c>
      <c r="F667">
        <v>30.617000000000001</v>
      </c>
      <c r="G667">
        <v>-106.517</v>
      </c>
      <c r="H667">
        <v>-7</v>
      </c>
      <c r="I667">
        <v>1181</v>
      </c>
      <c r="J667" t="str">
        <f>HYPERLINK("https://climate.onebuilding.org/WMO_Region_4_North_and_Central_America/MEX_Mexico/CHH_Chihuahua/MEX_CHH_Villa.Ahumada.761300_TMYx.zip")</f>
        <v>https://climate.onebuilding.org/WMO_Region_4_North_and_Central_America/MEX_Mexico/CHH_Chihuahua/MEX_CHH_Villa.Ahumada.761300_TMYx.zip</v>
      </c>
    </row>
    <row r="668" spans="1:10" x14ac:dyDescent="0.25">
      <c r="A668" t="s">
        <v>399</v>
      </c>
      <c r="B668" t="s">
        <v>400</v>
      </c>
      <c r="C668" t="s">
        <v>426</v>
      </c>
      <c r="D668">
        <v>761510</v>
      </c>
      <c r="E668" t="s">
        <v>10</v>
      </c>
      <c r="F668">
        <v>29.17</v>
      </c>
      <c r="G668">
        <v>-118.32</v>
      </c>
      <c r="H668">
        <v>-8</v>
      </c>
      <c r="I668">
        <v>23</v>
      </c>
      <c r="J668" t="str">
        <f>HYPERLINK("https://climate.onebuilding.org/WMO_Region_4_North_and_Central_America/MEX_Mexico/BCN_Baja_California/MEX_BCN_Isla.Guadalupe.761510_TMYx.zip")</f>
        <v>https://climate.onebuilding.org/WMO_Region_4_North_and_Central_America/MEX_Mexico/BCN_Baja_California/MEX_BCN_Isla.Guadalupe.761510_TMYx.zip</v>
      </c>
    </row>
    <row r="669" spans="1:10" x14ac:dyDescent="0.25">
      <c r="A669" t="s">
        <v>399</v>
      </c>
      <c r="B669" t="s">
        <v>410</v>
      </c>
      <c r="C669" t="s">
        <v>427</v>
      </c>
      <c r="D669">
        <v>761600</v>
      </c>
      <c r="E669" t="s">
        <v>428</v>
      </c>
      <c r="F669">
        <v>29.096</v>
      </c>
      <c r="G669">
        <v>-111.048</v>
      </c>
      <c r="H669">
        <v>-7</v>
      </c>
      <c r="I669">
        <v>191.1</v>
      </c>
      <c r="J669" t="str">
        <f>HYPERLINK("https://climate.onebuilding.org/WMO_Region_4_North_and_Central_America/MEX_Mexico/SON_Sonora/MEX_SON_Hermosillo.761600_TMYx.2004-2018.zip")</f>
        <v>https://climate.onebuilding.org/WMO_Region_4_North_and_Central_America/MEX_Mexico/SON_Sonora/MEX_SON_Hermosillo.761600_TMYx.2004-2018.zip</v>
      </c>
    </row>
    <row r="670" spans="1:10" x14ac:dyDescent="0.25">
      <c r="A670" t="s">
        <v>399</v>
      </c>
      <c r="B670" t="s">
        <v>410</v>
      </c>
      <c r="C670" t="s">
        <v>427</v>
      </c>
      <c r="D670">
        <v>761600</v>
      </c>
      <c r="E670" t="s">
        <v>10</v>
      </c>
      <c r="F670">
        <v>29.078399999999998</v>
      </c>
      <c r="G670">
        <v>-110.931</v>
      </c>
      <c r="H670">
        <v>-7</v>
      </c>
      <c r="I670">
        <v>211</v>
      </c>
      <c r="J670" t="str">
        <f>HYPERLINK("https://climate.onebuilding.org/WMO_Region_4_North_and_Central_America/MEX_Mexico/SON_Sonora/MEX_SON_Hermosillo.761600_TMYx.2007-2021.zip")</f>
        <v>https://climate.onebuilding.org/WMO_Region_4_North_and_Central_America/MEX_Mexico/SON_Sonora/MEX_SON_Hermosillo.761600_TMYx.2007-2021.zip</v>
      </c>
    </row>
    <row r="671" spans="1:10" x14ac:dyDescent="0.25">
      <c r="A671" t="s">
        <v>399</v>
      </c>
      <c r="B671" t="s">
        <v>410</v>
      </c>
      <c r="C671" t="s">
        <v>427</v>
      </c>
      <c r="D671">
        <v>761600</v>
      </c>
      <c r="E671" t="s">
        <v>10</v>
      </c>
      <c r="F671">
        <v>29.078399999999998</v>
      </c>
      <c r="G671">
        <v>-110.931</v>
      </c>
      <c r="H671">
        <v>-7</v>
      </c>
      <c r="I671">
        <v>211</v>
      </c>
      <c r="J671" t="str">
        <f>HYPERLINK("https://climate.onebuilding.org/WMO_Region_4_North_and_Central_America/MEX_Mexico/SON_Sonora/MEX_SON_Hermosillo.761600_TMYx.2009-2023.zip")</f>
        <v>https://climate.onebuilding.org/WMO_Region_4_North_and_Central_America/MEX_Mexico/SON_Sonora/MEX_SON_Hermosillo.761600_TMYx.2009-2023.zip</v>
      </c>
    </row>
    <row r="672" spans="1:10" x14ac:dyDescent="0.25">
      <c r="A672" t="s">
        <v>399</v>
      </c>
      <c r="B672" t="s">
        <v>410</v>
      </c>
      <c r="C672" t="s">
        <v>427</v>
      </c>
      <c r="D672">
        <v>761600</v>
      </c>
      <c r="E672" t="s">
        <v>10</v>
      </c>
      <c r="F672">
        <v>29.078399999999998</v>
      </c>
      <c r="G672">
        <v>-110.931</v>
      </c>
      <c r="H672">
        <v>-7</v>
      </c>
      <c r="I672">
        <v>211</v>
      </c>
      <c r="J672" t="str">
        <f>HYPERLINK("https://climate.onebuilding.org/WMO_Region_4_North_and_Central_America/MEX_Mexico/SON_Sonora/MEX_SON_Hermosillo.761600_TMYx.zip")</f>
        <v>https://climate.onebuilding.org/WMO_Region_4_North_and_Central_America/MEX_Mexico/SON_Sonora/MEX_SON_Hermosillo.761600_TMYx.zip</v>
      </c>
    </row>
    <row r="673" spans="1:10" x14ac:dyDescent="0.25">
      <c r="A673" t="s">
        <v>399</v>
      </c>
      <c r="B673" t="s">
        <v>429</v>
      </c>
      <c r="C673" t="s">
        <v>430</v>
      </c>
      <c r="D673">
        <v>762055</v>
      </c>
      <c r="E673" t="s">
        <v>18</v>
      </c>
      <c r="F673">
        <v>27.3</v>
      </c>
      <c r="G673">
        <v>-112.283</v>
      </c>
      <c r="H673">
        <v>-7</v>
      </c>
      <c r="I673">
        <v>103</v>
      </c>
      <c r="J673" t="str">
        <f>HYPERLINK("https://climate.onebuilding.org/WMO_Region_4_North_and_Central_America/MEX_Mexico/BCS_Baja_California_Sur/MEX_BCS_Santa.Rosalia.762055_TMYx.2007-2021.zip")</f>
        <v>https://climate.onebuilding.org/WMO_Region_4_North_and_Central_America/MEX_Mexico/BCS_Baja_California_Sur/MEX_BCS_Santa.Rosalia.762055_TMYx.2007-2021.zip</v>
      </c>
    </row>
    <row r="674" spans="1:10" x14ac:dyDescent="0.25">
      <c r="A674" t="s">
        <v>399</v>
      </c>
      <c r="B674" t="s">
        <v>429</v>
      </c>
      <c r="C674" t="s">
        <v>430</v>
      </c>
      <c r="D674">
        <v>762055</v>
      </c>
      <c r="E674" t="s">
        <v>18</v>
      </c>
      <c r="F674">
        <v>27.3</v>
      </c>
      <c r="G674">
        <v>-112.283</v>
      </c>
      <c r="H674">
        <v>-7</v>
      </c>
      <c r="I674">
        <v>103</v>
      </c>
      <c r="J674" t="str">
        <f>HYPERLINK("https://climate.onebuilding.org/WMO_Region_4_North_and_Central_America/MEX_Mexico/BCS_Baja_California_Sur/MEX_BCS_Santa.Rosalia.762055_TMYx.2009-2023.zip")</f>
        <v>https://climate.onebuilding.org/WMO_Region_4_North_and_Central_America/MEX_Mexico/BCS_Baja_California_Sur/MEX_BCS_Santa.Rosalia.762055_TMYx.2009-2023.zip</v>
      </c>
    </row>
    <row r="675" spans="1:10" x14ac:dyDescent="0.25">
      <c r="A675" t="s">
        <v>399</v>
      </c>
      <c r="B675" t="s">
        <v>429</v>
      </c>
      <c r="C675" t="s">
        <v>430</v>
      </c>
      <c r="D675">
        <v>762055</v>
      </c>
      <c r="E675" t="s">
        <v>18</v>
      </c>
      <c r="F675">
        <v>27.3</v>
      </c>
      <c r="G675">
        <v>-112.283</v>
      </c>
      <c r="H675">
        <v>-7</v>
      </c>
      <c r="I675">
        <v>103</v>
      </c>
      <c r="J675" t="str">
        <f>HYPERLINK("https://climate.onebuilding.org/WMO_Region_4_North_and_Central_America/MEX_Mexico/BCS_Baja_California_Sur/MEX_BCS_Santa.Rosalia.762055_TMYx.zip")</f>
        <v>https://climate.onebuilding.org/WMO_Region_4_North_and_Central_America/MEX_Mexico/BCS_Baja_California_Sur/MEX_BCS_Santa.Rosalia.762055_TMYx.zip</v>
      </c>
    </row>
    <row r="676" spans="1:10" x14ac:dyDescent="0.25">
      <c r="A676" t="s">
        <v>399</v>
      </c>
      <c r="B676" t="s">
        <v>413</v>
      </c>
      <c r="C676" t="s">
        <v>431</v>
      </c>
      <c r="D676">
        <v>762200</v>
      </c>
      <c r="E676" t="s">
        <v>432</v>
      </c>
      <c r="F676">
        <v>28.95</v>
      </c>
      <c r="G676">
        <v>-107.81699999999999</v>
      </c>
      <c r="H676">
        <v>-7</v>
      </c>
      <c r="I676">
        <v>1932</v>
      </c>
      <c r="J676" t="str">
        <f>HYPERLINK("https://climate.onebuilding.org/WMO_Region_4_North_and_Central_America/MEX_Mexico/CHH_Chihuahua/MEX_CHH_Temosachic.762200_TMYx.2004-2018.zip")</f>
        <v>https://climate.onebuilding.org/WMO_Region_4_North_and_Central_America/MEX_Mexico/CHH_Chihuahua/MEX_CHH_Temosachic.762200_TMYx.2004-2018.zip</v>
      </c>
    </row>
    <row r="677" spans="1:10" x14ac:dyDescent="0.25">
      <c r="A677" t="s">
        <v>399</v>
      </c>
      <c r="B677" t="s">
        <v>413</v>
      </c>
      <c r="C677" t="s">
        <v>431</v>
      </c>
      <c r="D677">
        <v>762200</v>
      </c>
      <c r="E677" t="s">
        <v>10</v>
      </c>
      <c r="F677">
        <v>28.95</v>
      </c>
      <c r="G677">
        <v>-107.81699999999999</v>
      </c>
      <c r="H677">
        <v>-7</v>
      </c>
      <c r="I677">
        <v>1932</v>
      </c>
      <c r="J677" t="str">
        <f>HYPERLINK("https://climate.onebuilding.org/WMO_Region_4_North_and_Central_America/MEX_Mexico/CHH_Chihuahua/MEX_CHH_Temosachic.762200_TMYx.2007-2021.zip")</f>
        <v>https://climate.onebuilding.org/WMO_Region_4_North_and_Central_America/MEX_Mexico/CHH_Chihuahua/MEX_CHH_Temosachic.762200_TMYx.2007-2021.zip</v>
      </c>
    </row>
    <row r="678" spans="1:10" x14ac:dyDescent="0.25">
      <c r="A678" t="s">
        <v>399</v>
      </c>
      <c r="B678" t="s">
        <v>413</v>
      </c>
      <c r="C678" t="s">
        <v>431</v>
      </c>
      <c r="D678">
        <v>762200</v>
      </c>
      <c r="E678" t="s">
        <v>10</v>
      </c>
      <c r="F678">
        <v>28.95</v>
      </c>
      <c r="G678">
        <v>-107.81699999999999</v>
      </c>
      <c r="H678">
        <v>-7</v>
      </c>
      <c r="I678">
        <v>1932</v>
      </c>
      <c r="J678" t="str">
        <f>HYPERLINK("https://climate.onebuilding.org/WMO_Region_4_North_and_Central_America/MEX_Mexico/CHH_Chihuahua/MEX_CHH_Temosachic.762200_TMYx.2009-2023.zip")</f>
        <v>https://climate.onebuilding.org/WMO_Region_4_North_and_Central_America/MEX_Mexico/CHH_Chihuahua/MEX_CHH_Temosachic.762200_TMYx.2009-2023.zip</v>
      </c>
    </row>
    <row r="679" spans="1:10" x14ac:dyDescent="0.25">
      <c r="A679" t="s">
        <v>399</v>
      </c>
      <c r="B679" t="s">
        <v>413</v>
      </c>
      <c r="C679" t="s">
        <v>431</v>
      </c>
      <c r="D679">
        <v>762200</v>
      </c>
      <c r="E679" t="s">
        <v>10</v>
      </c>
      <c r="F679">
        <v>28.95</v>
      </c>
      <c r="G679">
        <v>-107.81699999999999</v>
      </c>
      <c r="H679">
        <v>-7</v>
      </c>
      <c r="I679">
        <v>1932</v>
      </c>
      <c r="J679" t="str">
        <f>HYPERLINK("https://climate.onebuilding.org/WMO_Region_4_North_and_Central_America/MEX_Mexico/CHH_Chihuahua/MEX_CHH_Temosachic.762200_TMYx.zip")</f>
        <v>https://climate.onebuilding.org/WMO_Region_4_North_and_Central_America/MEX_Mexico/CHH_Chihuahua/MEX_CHH_Temosachic.762200_TMYx.zip</v>
      </c>
    </row>
    <row r="680" spans="1:10" x14ac:dyDescent="0.25">
      <c r="A680" t="s">
        <v>399</v>
      </c>
      <c r="B680" t="s">
        <v>413</v>
      </c>
      <c r="C680" t="s">
        <v>433</v>
      </c>
      <c r="D680">
        <v>762250</v>
      </c>
      <c r="E680" t="s">
        <v>434</v>
      </c>
      <c r="F680">
        <v>28.632999999999999</v>
      </c>
      <c r="G680">
        <v>-106.083</v>
      </c>
      <c r="H680">
        <v>-7</v>
      </c>
      <c r="I680">
        <v>1433</v>
      </c>
      <c r="J680" t="str">
        <f>HYPERLINK("https://climate.onebuilding.org/WMO_Region_4_North_and_Central_America/MEX_Mexico/CHH_Chihuahua/MEX_CHH_Chihuahua.762250_TMYx.2004-2018.zip")</f>
        <v>https://climate.onebuilding.org/WMO_Region_4_North_and_Central_America/MEX_Mexico/CHH_Chihuahua/MEX_CHH_Chihuahua.762250_TMYx.2004-2018.zip</v>
      </c>
    </row>
    <row r="681" spans="1:10" x14ac:dyDescent="0.25">
      <c r="A681" t="s">
        <v>399</v>
      </c>
      <c r="B681" t="s">
        <v>413</v>
      </c>
      <c r="C681" t="s">
        <v>433</v>
      </c>
      <c r="D681">
        <v>762250</v>
      </c>
      <c r="E681" t="s">
        <v>10</v>
      </c>
      <c r="F681">
        <v>28.632999999999999</v>
      </c>
      <c r="G681">
        <v>-106.083</v>
      </c>
      <c r="H681">
        <v>-7</v>
      </c>
      <c r="I681">
        <v>1433</v>
      </c>
      <c r="J681" t="str">
        <f>HYPERLINK("https://climate.onebuilding.org/WMO_Region_4_North_and_Central_America/MEX_Mexico/CHH_Chihuahua/MEX_CHH_Chihuahua.762250_TMYx.2007-2021.zip")</f>
        <v>https://climate.onebuilding.org/WMO_Region_4_North_and_Central_America/MEX_Mexico/CHH_Chihuahua/MEX_CHH_Chihuahua.762250_TMYx.2007-2021.zip</v>
      </c>
    </row>
    <row r="682" spans="1:10" x14ac:dyDescent="0.25">
      <c r="A682" t="s">
        <v>399</v>
      </c>
      <c r="B682" t="s">
        <v>413</v>
      </c>
      <c r="C682" t="s">
        <v>433</v>
      </c>
      <c r="D682">
        <v>762250</v>
      </c>
      <c r="E682" t="s">
        <v>10</v>
      </c>
      <c r="F682">
        <v>28.632999999999999</v>
      </c>
      <c r="G682">
        <v>-106.083</v>
      </c>
      <c r="H682">
        <v>-7</v>
      </c>
      <c r="I682">
        <v>1433</v>
      </c>
      <c r="J682" t="str">
        <f>HYPERLINK("https://climate.onebuilding.org/WMO_Region_4_North_and_Central_America/MEX_Mexico/CHH_Chihuahua/MEX_CHH_Chihuahua.762250_TMYx.2009-2023.zip")</f>
        <v>https://climate.onebuilding.org/WMO_Region_4_North_and_Central_America/MEX_Mexico/CHH_Chihuahua/MEX_CHH_Chihuahua.762250_TMYx.2009-2023.zip</v>
      </c>
    </row>
    <row r="683" spans="1:10" x14ac:dyDescent="0.25">
      <c r="A683" t="s">
        <v>399</v>
      </c>
      <c r="B683" t="s">
        <v>413</v>
      </c>
      <c r="C683" t="s">
        <v>433</v>
      </c>
      <c r="D683">
        <v>762250</v>
      </c>
      <c r="E683" t="s">
        <v>10</v>
      </c>
      <c r="F683">
        <v>28.632999999999999</v>
      </c>
      <c r="G683">
        <v>-106.083</v>
      </c>
      <c r="H683">
        <v>-7</v>
      </c>
      <c r="I683">
        <v>1433</v>
      </c>
      <c r="J683" t="str">
        <f>HYPERLINK("https://climate.onebuilding.org/WMO_Region_4_North_and_Central_America/MEX_Mexico/CHH_Chihuahua/MEX_CHH_Chihuahua.762250_TMYx.zip")</f>
        <v>https://climate.onebuilding.org/WMO_Region_4_North_and_Central_America/MEX_Mexico/CHH_Chihuahua/MEX_CHH_Chihuahua.762250_TMYx.zip</v>
      </c>
    </row>
    <row r="684" spans="1:10" x14ac:dyDescent="0.25">
      <c r="A684" t="s">
        <v>399</v>
      </c>
      <c r="B684" t="s">
        <v>413</v>
      </c>
      <c r="C684" t="s">
        <v>435</v>
      </c>
      <c r="D684">
        <v>762253</v>
      </c>
      <c r="E684" t="s">
        <v>436</v>
      </c>
      <c r="F684">
        <v>28.702999999999999</v>
      </c>
      <c r="G684">
        <v>-105.965</v>
      </c>
      <c r="H684">
        <v>-7</v>
      </c>
      <c r="I684">
        <v>1360</v>
      </c>
      <c r="J684" t="str">
        <f>HYPERLINK("https://climate.onebuilding.org/WMO_Region_4_North_and_Central_America/MEX_Mexico/CHH_Chihuahua/MEX_CHH_Chihuahua-Villalobos.Intl.AP.762253_TMYx.2004-2018.zip")</f>
        <v>https://climate.onebuilding.org/WMO_Region_4_North_and_Central_America/MEX_Mexico/CHH_Chihuahua/MEX_CHH_Chihuahua-Villalobos.Intl.AP.762253_TMYx.2004-2018.zip</v>
      </c>
    </row>
    <row r="685" spans="1:10" x14ac:dyDescent="0.25">
      <c r="A685" t="s">
        <v>399</v>
      </c>
      <c r="B685" t="s">
        <v>413</v>
      </c>
      <c r="C685" t="s">
        <v>435</v>
      </c>
      <c r="D685">
        <v>762253</v>
      </c>
      <c r="E685" t="s">
        <v>10</v>
      </c>
      <c r="F685">
        <v>28.702999999999999</v>
      </c>
      <c r="G685">
        <v>-105.965</v>
      </c>
      <c r="H685">
        <v>-7</v>
      </c>
      <c r="I685">
        <v>1360</v>
      </c>
      <c r="J685" t="str">
        <f>HYPERLINK("https://climate.onebuilding.org/WMO_Region_4_North_and_Central_America/MEX_Mexico/CHH_Chihuahua/MEX_CHH_Chihuahua-Villalobos.Intl.AP.762253_TMYx.2007-2021.zip")</f>
        <v>https://climate.onebuilding.org/WMO_Region_4_North_and_Central_America/MEX_Mexico/CHH_Chihuahua/MEX_CHH_Chihuahua-Villalobos.Intl.AP.762253_TMYx.2007-2021.zip</v>
      </c>
    </row>
    <row r="686" spans="1:10" x14ac:dyDescent="0.25">
      <c r="A686" t="s">
        <v>399</v>
      </c>
      <c r="B686" t="s">
        <v>413</v>
      </c>
      <c r="C686" t="s">
        <v>435</v>
      </c>
      <c r="D686">
        <v>762253</v>
      </c>
      <c r="E686" t="s">
        <v>10</v>
      </c>
      <c r="F686">
        <v>28.702999999999999</v>
      </c>
      <c r="G686">
        <v>-105.965</v>
      </c>
      <c r="H686">
        <v>-7</v>
      </c>
      <c r="I686">
        <v>1360</v>
      </c>
      <c r="J686" t="str">
        <f>HYPERLINK("https://climate.onebuilding.org/WMO_Region_4_North_and_Central_America/MEX_Mexico/CHH_Chihuahua/MEX_CHH_Chihuahua-Villalobos.Intl.AP.762253_TMYx.2009-2023.zip")</f>
        <v>https://climate.onebuilding.org/WMO_Region_4_North_and_Central_America/MEX_Mexico/CHH_Chihuahua/MEX_CHH_Chihuahua-Villalobos.Intl.AP.762253_TMYx.2009-2023.zip</v>
      </c>
    </row>
    <row r="687" spans="1:10" x14ac:dyDescent="0.25">
      <c r="A687" t="s">
        <v>399</v>
      </c>
      <c r="B687" t="s">
        <v>413</v>
      </c>
      <c r="C687" t="s">
        <v>435</v>
      </c>
      <c r="D687">
        <v>762253</v>
      </c>
      <c r="E687" t="s">
        <v>10</v>
      </c>
      <c r="F687">
        <v>28.702999999999999</v>
      </c>
      <c r="G687">
        <v>-105.965</v>
      </c>
      <c r="H687">
        <v>-7</v>
      </c>
      <c r="I687">
        <v>1360</v>
      </c>
      <c r="J687" t="str">
        <f>HYPERLINK("https://climate.onebuilding.org/WMO_Region_4_North_and_Central_America/MEX_Mexico/CHH_Chihuahua/MEX_CHH_Chihuahua-Villalobos.Intl.AP.762253_TMYx.zip")</f>
        <v>https://climate.onebuilding.org/WMO_Region_4_North_and_Central_America/MEX_Mexico/CHH_Chihuahua/MEX_CHH_Chihuahua-Villalobos.Intl.AP.762253_TMYx.zip</v>
      </c>
    </row>
    <row r="688" spans="1:10" x14ac:dyDescent="0.25">
      <c r="A688" t="s">
        <v>399</v>
      </c>
      <c r="B688" t="s">
        <v>437</v>
      </c>
      <c r="C688" t="s">
        <v>438</v>
      </c>
      <c r="D688">
        <v>762430</v>
      </c>
      <c r="E688" t="s">
        <v>439</v>
      </c>
      <c r="F688">
        <v>28.626999999999999</v>
      </c>
      <c r="G688">
        <v>-100.535</v>
      </c>
      <c r="H688">
        <v>-6</v>
      </c>
      <c r="I688">
        <v>274.60000000000002</v>
      </c>
      <c r="J688" t="str">
        <f>HYPERLINK("https://climate.onebuilding.org/WMO_Region_4_North_and_Central_America/MEX_Mexico/COA_Coahuila/MEX_COA_Nuevo.Loredo-Piedras.Negras.Intl.AP.762430_TMYx.2004-2018.zip")</f>
        <v>https://climate.onebuilding.org/WMO_Region_4_North_and_Central_America/MEX_Mexico/COA_Coahuila/MEX_COA_Nuevo.Loredo-Piedras.Negras.Intl.AP.762430_TMYx.2004-2018.zip</v>
      </c>
    </row>
    <row r="689" spans="1:10" x14ac:dyDescent="0.25">
      <c r="A689" t="s">
        <v>399</v>
      </c>
      <c r="B689" t="s">
        <v>437</v>
      </c>
      <c r="C689" t="s">
        <v>438</v>
      </c>
      <c r="D689">
        <v>762430</v>
      </c>
      <c r="E689" t="s">
        <v>10</v>
      </c>
      <c r="F689">
        <v>28.626999999999999</v>
      </c>
      <c r="G689">
        <v>-100.535</v>
      </c>
      <c r="H689">
        <v>-6</v>
      </c>
      <c r="I689">
        <v>274.60000000000002</v>
      </c>
      <c r="J689" t="str">
        <f>HYPERLINK("https://climate.onebuilding.org/WMO_Region_4_North_and_Central_America/MEX_Mexico/COA_Coahuila/MEX_COA_Nuevo.Loredo-Piedras.Negras.Intl.AP.762430_TMYx.2007-2021.zip")</f>
        <v>https://climate.onebuilding.org/WMO_Region_4_North_and_Central_America/MEX_Mexico/COA_Coahuila/MEX_COA_Nuevo.Loredo-Piedras.Negras.Intl.AP.762430_TMYx.2007-2021.zip</v>
      </c>
    </row>
    <row r="690" spans="1:10" x14ac:dyDescent="0.25">
      <c r="A690" t="s">
        <v>399</v>
      </c>
      <c r="B690" t="s">
        <v>437</v>
      </c>
      <c r="C690" t="s">
        <v>438</v>
      </c>
      <c r="D690">
        <v>762430</v>
      </c>
      <c r="E690" t="s">
        <v>10</v>
      </c>
      <c r="F690">
        <v>28.626999999999999</v>
      </c>
      <c r="G690">
        <v>-100.535</v>
      </c>
      <c r="H690">
        <v>-6</v>
      </c>
      <c r="I690">
        <v>274.60000000000002</v>
      </c>
      <c r="J690" t="str">
        <f>HYPERLINK("https://climate.onebuilding.org/WMO_Region_4_North_and_Central_America/MEX_Mexico/COA_Coahuila/MEX_COA_Nuevo.Loredo-Piedras.Negras.Intl.AP.762430_TMYx.2009-2023.zip")</f>
        <v>https://climate.onebuilding.org/WMO_Region_4_North_and_Central_America/MEX_Mexico/COA_Coahuila/MEX_COA_Nuevo.Loredo-Piedras.Negras.Intl.AP.762430_TMYx.2009-2023.zip</v>
      </c>
    </row>
    <row r="691" spans="1:10" x14ac:dyDescent="0.25">
      <c r="A691" t="s">
        <v>399</v>
      </c>
      <c r="B691" t="s">
        <v>437</v>
      </c>
      <c r="C691" t="s">
        <v>438</v>
      </c>
      <c r="D691">
        <v>762430</v>
      </c>
      <c r="E691" t="s">
        <v>10</v>
      </c>
      <c r="F691">
        <v>28.626999999999999</v>
      </c>
      <c r="G691">
        <v>-100.535</v>
      </c>
      <c r="H691">
        <v>-6</v>
      </c>
      <c r="I691">
        <v>274.60000000000002</v>
      </c>
      <c r="J691" t="str">
        <f>HYPERLINK("https://climate.onebuilding.org/WMO_Region_4_North_and_Central_America/MEX_Mexico/COA_Coahuila/MEX_COA_Nuevo.Loredo-Piedras.Negras.Intl.AP.762430_TMYx.zip")</f>
        <v>https://climate.onebuilding.org/WMO_Region_4_North_and_Central_America/MEX_Mexico/COA_Coahuila/MEX_COA_Nuevo.Loredo-Piedras.Negras.Intl.AP.762430_TMYx.zip</v>
      </c>
    </row>
    <row r="692" spans="1:10" x14ac:dyDescent="0.25">
      <c r="A692" t="s">
        <v>399</v>
      </c>
      <c r="B692" t="s">
        <v>410</v>
      </c>
      <c r="C692" t="s">
        <v>440</v>
      </c>
      <c r="D692">
        <v>762530</v>
      </c>
      <c r="E692" t="s">
        <v>441</v>
      </c>
      <c r="F692">
        <v>27.393000000000001</v>
      </c>
      <c r="G692">
        <v>-109.833</v>
      </c>
      <c r="H692">
        <v>-7</v>
      </c>
      <c r="I692">
        <v>62.5</v>
      </c>
      <c r="J692" t="str">
        <f>HYPERLINK("https://climate.onebuilding.org/WMO_Region_4_North_and_Central_America/MEX_Mexico/SON_Sonora/MEX_SON_Ciudad.Obregon.Intl.AP.762530_TMYx.2004-2018.zip")</f>
        <v>https://climate.onebuilding.org/WMO_Region_4_North_and_Central_America/MEX_Mexico/SON_Sonora/MEX_SON_Ciudad.Obregon.Intl.AP.762530_TMYx.2004-2018.zip</v>
      </c>
    </row>
    <row r="693" spans="1:10" x14ac:dyDescent="0.25">
      <c r="A693" t="s">
        <v>399</v>
      </c>
      <c r="B693" t="s">
        <v>410</v>
      </c>
      <c r="C693" t="s">
        <v>440</v>
      </c>
      <c r="D693">
        <v>762530</v>
      </c>
      <c r="E693" t="s">
        <v>10</v>
      </c>
      <c r="F693">
        <v>27.393000000000001</v>
      </c>
      <c r="G693">
        <v>-109.833</v>
      </c>
      <c r="H693">
        <v>-7</v>
      </c>
      <c r="I693">
        <v>62.5</v>
      </c>
      <c r="J693" t="str">
        <f>HYPERLINK("https://climate.onebuilding.org/WMO_Region_4_North_and_Central_America/MEX_Mexico/SON_Sonora/MEX_SON_Ciudad.Obregon.Intl.AP.762530_TMYx.2007-2021.zip")</f>
        <v>https://climate.onebuilding.org/WMO_Region_4_North_and_Central_America/MEX_Mexico/SON_Sonora/MEX_SON_Ciudad.Obregon.Intl.AP.762530_TMYx.2007-2021.zip</v>
      </c>
    </row>
    <row r="694" spans="1:10" x14ac:dyDescent="0.25">
      <c r="A694" t="s">
        <v>399</v>
      </c>
      <c r="B694" t="s">
        <v>410</v>
      </c>
      <c r="C694" t="s">
        <v>440</v>
      </c>
      <c r="D694">
        <v>762530</v>
      </c>
      <c r="E694" t="s">
        <v>10</v>
      </c>
      <c r="F694">
        <v>27.393000000000001</v>
      </c>
      <c r="G694">
        <v>-109.833</v>
      </c>
      <c r="H694">
        <v>-7</v>
      </c>
      <c r="I694">
        <v>62.5</v>
      </c>
      <c r="J694" t="str">
        <f>HYPERLINK("https://climate.onebuilding.org/WMO_Region_4_North_and_Central_America/MEX_Mexico/SON_Sonora/MEX_SON_Ciudad.Obregon.Intl.AP.762530_TMYx.2009-2023.zip")</f>
        <v>https://climate.onebuilding.org/WMO_Region_4_North_and_Central_America/MEX_Mexico/SON_Sonora/MEX_SON_Ciudad.Obregon.Intl.AP.762530_TMYx.2009-2023.zip</v>
      </c>
    </row>
    <row r="695" spans="1:10" x14ac:dyDescent="0.25">
      <c r="A695" t="s">
        <v>399</v>
      </c>
      <c r="B695" t="s">
        <v>410</v>
      </c>
      <c r="C695" t="s">
        <v>440</v>
      </c>
      <c r="D695">
        <v>762530</v>
      </c>
      <c r="E695" t="s">
        <v>10</v>
      </c>
      <c r="F695">
        <v>27.393000000000001</v>
      </c>
      <c r="G695">
        <v>-109.833</v>
      </c>
      <c r="H695">
        <v>-7</v>
      </c>
      <c r="I695">
        <v>62.5</v>
      </c>
      <c r="J695" t="str">
        <f>HYPERLINK("https://climate.onebuilding.org/WMO_Region_4_North_and_Central_America/MEX_Mexico/SON_Sonora/MEX_SON_Ciudad.Obregon.Intl.AP.762530_TMYx.zip")</f>
        <v>https://climate.onebuilding.org/WMO_Region_4_North_and_Central_America/MEX_Mexico/SON_Sonora/MEX_SON_Ciudad.Obregon.Intl.AP.762530_TMYx.zip</v>
      </c>
    </row>
    <row r="696" spans="1:10" x14ac:dyDescent="0.25">
      <c r="A696" t="s">
        <v>399</v>
      </c>
      <c r="B696" t="s">
        <v>410</v>
      </c>
      <c r="C696" t="s">
        <v>442</v>
      </c>
      <c r="D696">
        <v>762550</v>
      </c>
      <c r="E696" t="s">
        <v>18</v>
      </c>
      <c r="F696">
        <v>27.9221</v>
      </c>
      <c r="G696">
        <v>-110.8824</v>
      </c>
      <c r="H696">
        <v>-7</v>
      </c>
      <c r="I696">
        <v>4</v>
      </c>
      <c r="J696" t="str">
        <f>HYPERLINK("https://climate.onebuilding.org/WMO_Region_4_North_and_Central_America/MEX_Mexico/SON_Sonora/MEX_SON_Guaymas.762550_TMYx.2007-2021.zip")</f>
        <v>https://climate.onebuilding.org/WMO_Region_4_North_and_Central_America/MEX_Mexico/SON_Sonora/MEX_SON_Guaymas.762550_TMYx.2007-2021.zip</v>
      </c>
    </row>
    <row r="697" spans="1:10" x14ac:dyDescent="0.25">
      <c r="A697" t="s">
        <v>399</v>
      </c>
      <c r="B697" t="s">
        <v>410</v>
      </c>
      <c r="C697" t="s">
        <v>442</v>
      </c>
      <c r="D697">
        <v>762550</v>
      </c>
      <c r="E697" t="s">
        <v>18</v>
      </c>
      <c r="F697">
        <v>27.9221</v>
      </c>
      <c r="G697">
        <v>-110.8824</v>
      </c>
      <c r="H697">
        <v>-7</v>
      </c>
      <c r="I697">
        <v>4</v>
      </c>
      <c r="J697" t="str">
        <f>HYPERLINK("https://climate.onebuilding.org/WMO_Region_4_North_and_Central_America/MEX_Mexico/SON_Sonora/MEX_SON_Guaymas.762550_TMYx.2009-2023.zip")</f>
        <v>https://climate.onebuilding.org/WMO_Region_4_North_and_Central_America/MEX_Mexico/SON_Sonora/MEX_SON_Guaymas.762550_TMYx.2009-2023.zip</v>
      </c>
    </row>
    <row r="698" spans="1:10" x14ac:dyDescent="0.25">
      <c r="A698" t="s">
        <v>399</v>
      </c>
      <c r="B698" t="s">
        <v>410</v>
      </c>
      <c r="C698" t="s">
        <v>442</v>
      </c>
      <c r="D698">
        <v>762550</v>
      </c>
      <c r="E698" t="s">
        <v>18</v>
      </c>
      <c r="F698">
        <v>27.9221</v>
      </c>
      <c r="G698">
        <v>-110.8824</v>
      </c>
      <c r="H698">
        <v>-7</v>
      </c>
      <c r="I698">
        <v>4</v>
      </c>
      <c r="J698" t="str">
        <f>HYPERLINK("https://climate.onebuilding.org/WMO_Region_4_North_and_Central_America/MEX_Mexico/SON_Sonora/MEX_SON_Guaymas.762550_TMYx.zip")</f>
        <v>https://climate.onebuilding.org/WMO_Region_4_North_and_Central_America/MEX_Mexico/SON_Sonora/MEX_SON_Guaymas.762550_TMYx.zip</v>
      </c>
    </row>
    <row r="699" spans="1:10" x14ac:dyDescent="0.25">
      <c r="A699" t="s">
        <v>399</v>
      </c>
      <c r="B699" t="s">
        <v>410</v>
      </c>
      <c r="C699" t="s">
        <v>443</v>
      </c>
      <c r="D699">
        <v>762555</v>
      </c>
      <c r="E699" t="s">
        <v>444</v>
      </c>
      <c r="F699">
        <v>27.969000000000001</v>
      </c>
      <c r="G699">
        <v>-110.925</v>
      </c>
      <c r="H699">
        <v>-7</v>
      </c>
      <c r="I699">
        <v>18</v>
      </c>
      <c r="J699" t="str">
        <f>HYPERLINK("https://climate.onebuilding.org/WMO_Region_4_North_and_Central_America/MEX_Mexico/SON_Sonora/MEX_SON_Guaymas.Yanez.Intl.AP.762555_TMYx.2004-2018.zip")</f>
        <v>https://climate.onebuilding.org/WMO_Region_4_North_and_Central_America/MEX_Mexico/SON_Sonora/MEX_SON_Guaymas.Yanez.Intl.AP.762555_TMYx.2004-2018.zip</v>
      </c>
    </row>
    <row r="700" spans="1:10" x14ac:dyDescent="0.25">
      <c r="A700" t="s">
        <v>399</v>
      </c>
      <c r="B700" t="s">
        <v>410</v>
      </c>
      <c r="C700" t="s">
        <v>443</v>
      </c>
      <c r="D700">
        <v>762555</v>
      </c>
      <c r="E700" t="s">
        <v>10</v>
      </c>
      <c r="F700">
        <v>27.969000000000001</v>
      </c>
      <c r="G700">
        <v>-110.925</v>
      </c>
      <c r="H700">
        <v>-7</v>
      </c>
      <c r="I700">
        <v>18</v>
      </c>
      <c r="J700" t="str">
        <f>HYPERLINK("https://climate.onebuilding.org/WMO_Region_4_North_and_Central_America/MEX_Mexico/SON_Sonora/MEX_SON_Guaymas.Yanez.Intl.AP.762555_TMYx.2007-2021.zip")</f>
        <v>https://climate.onebuilding.org/WMO_Region_4_North_and_Central_America/MEX_Mexico/SON_Sonora/MEX_SON_Guaymas.Yanez.Intl.AP.762555_TMYx.2007-2021.zip</v>
      </c>
    </row>
    <row r="701" spans="1:10" x14ac:dyDescent="0.25">
      <c r="A701" t="s">
        <v>399</v>
      </c>
      <c r="B701" t="s">
        <v>410</v>
      </c>
      <c r="C701" t="s">
        <v>443</v>
      </c>
      <c r="D701">
        <v>762555</v>
      </c>
      <c r="E701" t="s">
        <v>10</v>
      </c>
      <c r="F701">
        <v>27.969000000000001</v>
      </c>
      <c r="G701">
        <v>-110.925</v>
      </c>
      <c r="H701">
        <v>-7</v>
      </c>
      <c r="I701">
        <v>18</v>
      </c>
      <c r="J701" t="str">
        <f>HYPERLINK("https://climate.onebuilding.org/WMO_Region_4_North_and_Central_America/MEX_Mexico/SON_Sonora/MEX_SON_Guaymas.Yanez.Intl.AP.762555_TMYx.2009-2023.zip")</f>
        <v>https://climate.onebuilding.org/WMO_Region_4_North_and_Central_America/MEX_Mexico/SON_Sonora/MEX_SON_Guaymas.Yanez.Intl.AP.762555_TMYx.2009-2023.zip</v>
      </c>
    </row>
    <row r="702" spans="1:10" x14ac:dyDescent="0.25">
      <c r="A702" t="s">
        <v>399</v>
      </c>
      <c r="B702" t="s">
        <v>410</v>
      </c>
      <c r="C702" t="s">
        <v>443</v>
      </c>
      <c r="D702">
        <v>762555</v>
      </c>
      <c r="E702" t="s">
        <v>10</v>
      </c>
      <c r="F702">
        <v>27.969000000000001</v>
      </c>
      <c r="G702">
        <v>-110.925</v>
      </c>
      <c r="H702">
        <v>-7</v>
      </c>
      <c r="I702">
        <v>18</v>
      </c>
      <c r="J702" t="str">
        <f>HYPERLINK("https://climate.onebuilding.org/WMO_Region_4_North_and_Central_America/MEX_Mexico/SON_Sonora/MEX_SON_Guaymas.Yanez.Intl.AP.762555_TMYx.zip")</f>
        <v>https://climate.onebuilding.org/WMO_Region_4_North_and_Central_America/MEX_Mexico/SON_Sonora/MEX_SON_Guaymas.Yanez.Intl.AP.762555_TMYx.zip</v>
      </c>
    </row>
    <row r="703" spans="1:10" x14ac:dyDescent="0.25">
      <c r="A703" t="s">
        <v>399</v>
      </c>
      <c r="B703" t="s">
        <v>410</v>
      </c>
      <c r="C703" t="s">
        <v>445</v>
      </c>
      <c r="D703">
        <v>762560</v>
      </c>
      <c r="E703" t="s">
        <v>446</v>
      </c>
      <c r="F703">
        <v>27.9572</v>
      </c>
      <c r="G703">
        <v>-110.7975</v>
      </c>
      <c r="H703">
        <v>-7</v>
      </c>
      <c r="I703">
        <v>12</v>
      </c>
      <c r="J703" t="str">
        <f>HYPERLINK("https://climate.onebuilding.org/WMO_Region_4_North_and_Central_America/MEX_Mexico/SON_Sonora/MEX_SON_Empalme.762560_TMYx.2004-2018.zip")</f>
        <v>https://climate.onebuilding.org/WMO_Region_4_North_and_Central_America/MEX_Mexico/SON_Sonora/MEX_SON_Empalme.762560_TMYx.2004-2018.zip</v>
      </c>
    </row>
    <row r="704" spans="1:10" x14ac:dyDescent="0.25">
      <c r="A704" t="s">
        <v>399</v>
      </c>
      <c r="B704" t="s">
        <v>410</v>
      </c>
      <c r="C704" t="s">
        <v>445</v>
      </c>
      <c r="D704">
        <v>762560</v>
      </c>
      <c r="E704" t="s">
        <v>10</v>
      </c>
      <c r="F704">
        <v>27.9572</v>
      </c>
      <c r="G704">
        <v>-110.7975</v>
      </c>
      <c r="H704">
        <v>-7</v>
      </c>
      <c r="I704">
        <v>12</v>
      </c>
      <c r="J704" t="str">
        <f>HYPERLINK("https://climate.onebuilding.org/WMO_Region_4_North_and_Central_America/MEX_Mexico/SON_Sonora/MEX_SON_Empalme.762560_TMYx.2007-2021.zip")</f>
        <v>https://climate.onebuilding.org/WMO_Region_4_North_and_Central_America/MEX_Mexico/SON_Sonora/MEX_SON_Empalme.762560_TMYx.2007-2021.zip</v>
      </c>
    </row>
    <row r="705" spans="1:10" x14ac:dyDescent="0.25">
      <c r="A705" t="s">
        <v>399</v>
      </c>
      <c r="B705" t="s">
        <v>410</v>
      </c>
      <c r="C705" t="s">
        <v>445</v>
      </c>
      <c r="D705">
        <v>762560</v>
      </c>
      <c r="E705" t="s">
        <v>10</v>
      </c>
      <c r="F705">
        <v>27.9572</v>
      </c>
      <c r="G705">
        <v>-110.7975</v>
      </c>
      <c r="H705">
        <v>-7</v>
      </c>
      <c r="I705">
        <v>12</v>
      </c>
      <c r="J705" t="str">
        <f>HYPERLINK("https://climate.onebuilding.org/WMO_Region_4_North_and_Central_America/MEX_Mexico/SON_Sonora/MEX_SON_Empalme.762560_TMYx.2009-2023.zip")</f>
        <v>https://climate.onebuilding.org/WMO_Region_4_North_and_Central_America/MEX_Mexico/SON_Sonora/MEX_SON_Empalme.762560_TMYx.2009-2023.zip</v>
      </c>
    </row>
    <row r="706" spans="1:10" x14ac:dyDescent="0.25">
      <c r="A706" t="s">
        <v>399</v>
      </c>
      <c r="B706" t="s">
        <v>410</v>
      </c>
      <c r="C706" t="s">
        <v>445</v>
      </c>
      <c r="D706">
        <v>762560</v>
      </c>
      <c r="E706" t="s">
        <v>10</v>
      </c>
      <c r="F706">
        <v>27.9572</v>
      </c>
      <c r="G706">
        <v>-110.7975</v>
      </c>
      <c r="H706">
        <v>-7</v>
      </c>
      <c r="I706">
        <v>12</v>
      </c>
      <c r="J706" t="str">
        <f>HYPERLINK("https://climate.onebuilding.org/WMO_Region_4_North_and_Central_America/MEX_Mexico/SON_Sonora/MEX_SON_Empalme.762560_TMYx.zip")</f>
        <v>https://climate.onebuilding.org/WMO_Region_4_North_and_Central_America/MEX_Mexico/SON_Sonora/MEX_SON_Empalme.762560_TMYx.zip</v>
      </c>
    </row>
    <row r="707" spans="1:10" x14ac:dyDescent="0.25">
      <c r="A707" t="s">
        <v>399</v>
      </c>
      <c r="B707" t="s">
        <v>410</v>
      </c>
      <c r="C707" t="s">
        <v>447</v>
      </c>
      <c r="D707">
        <v>762580</v>
      </c>
      <c r="E707" t="s">
        <v>448</v>
      </c>
      <c r="F707">
        <v>27.367000000000001</v>
      </c>
      <c r="G707">
        <v>-109.93300000000001</v>
      </c>
      <c r="H707">
        <v>-7</v>
      </c>
      <c r="I707">
        <v>40</v>
      </c>
      <c r="J707" t="str">
        <f>HYPERLINK("https://climate.onebuilding.org/WMO_Region_4_North_and_Central_America/MEX_Mexico/SON_Sonora/MEX_SON_Ciudad.Obregon.762580_TMYx.2004-2018.zip")</f>
        <v>https://climate.onebuilding.org/WMO_Region_4_North_and_Central_America/MEX_Mexico/SON_Sonora/MEX_SON_Ciudad.Obregon.762580_TMYx.2004-2018.zip</v>
      </c>
    </row>
    <row r="708" spans="1:10" x14ac:dyDescent="0.25">
      <c r="A708" t="s">
        <v>399</v>
      </c>
      <c r="B708" t="s">
        <v>410</v>
      </c>
      <c r="C708" t="s">
        <v>447</v>
      </c>
      <c r="D708">
        <v>762580</v>
      </c>
      <c r="E708" t="s">
        <v>10</v>
      </c>
      <c r="F708">
        <v>27.367000000000001</v>
      </c>
      <c r="G708">
        <v>-109.93300000000001</v>
      </c>
      <c r="H708">
        <v>-7</v>
      </c>
      <c r="I708">
        <v>40</v>
      </c>
      <c r="J708" t="str">
        <f>HYPERLINK("https://climate.onebuilding.org/WMO_Region_4_North_and_Central_America/MEX_Mexico/SON_Sonora/MEX_SON_Ciudad.Obregon.762580_TMYx.2007-2021.zip")</f>
        <v>https://climate.onebuilding.org/WMO_Region_4_North_and_Central_America/MEX_Mexico/SON_Sonora/MEX_SON_Ciudad.Obregon.762580_TMYx.2007-2021.zip</v>
      </c>
    </row>
    <row r="709" spans="1:10" x14ac:dyDescent="0.25">
      <c r="A709" t="s">
        <v>399</v>
      </c>
      <c r="B709" t="s">
        <v>410</v>
      </c>
      <c r="C709" t="s">
        <v>447</v>
      </c>
      <c r="D709">
        <v>762580</v>
      </c>
      <c r="E709" t="s">
        <v>10</v>
      </c>
      <c r="F709">
        <v>27.367000000000001</v>
      </c>
      <c r="G709">
        <v>-109.93300000000001</v>
      </c>
      <c r="H709">
        <v>-7</v>
      </c>
      <c r="I709">
        <v>40</v>
      </c>
      <c r="J709" t="str">
        <f>HYPERLINK("https://climate.onebuilding.org/WMO_Region_4_North_and_Central_America/MEX_Mexico/SON_Sonora/MEX_SON_Ciudad.Obregon.762580_TMYx.2009-2023.zip")</f>
        <v>https://climate.onebuilding.org/WMO_Region_4_North_and_Central_America/MEX_Mexico/SON_Sonora/MEX_SON_Ciudad.Obregon.762580_TMYx.2009-2023.zip</v>
      </c>
    </row>
    <row r="710" spans="1:10" x14ac:dyDescent="0.25">
      <c r="A710" t="s">
        <v>399</v>
      </c>
      <c r="B710" t="s">
        <v>410</v>
      </c>
      <c r="C710" t="s">
        <v>447</v>
      </c>
      <c r="D710">
        <v>762580</v>
      </c>
      <c r="E710" t="s">
        <v>10</v>
      </c>
      <c r="F710">
        <v>27.367000000000001</v>
      </c>
      <c r="G710">
        <v>-109.93300000000001</v>
      </c>
      <c r="H710">
        <v>-7</v>
      </c>
      <c r="I710">
        <v>40</v>
      </c>
      <c r="J710" t="str">
        <f>HYPERLINK("https://climate.onebuilding.org/WMO_Region_4_North_and_Central_America/MEX_Mexico/SON_Sonora/MEX_SON_Ciudad.Obregon.762580_TMYx.zip")</f>
        <v>https://climate.onebuilding.org/WMO_Region_4_North_and_Central_America/MEX_Mexico/SON_Sonora/MEX_SON_Ciudad.Obregon.762580_TMYx.zip</v>
      </c>
    </row>
    <row r="711" spans="1:10" x14ac:dyDescent="0.25">
      <c r="A711" t="s">
        <v>399</v>
      </c>
      <c r="B711" t="s">
        <v>437</v>
      </c>
      <c r="C711" t="s">
        <v>449</v>
      </c>
      <c r="D711">
        <v>762800</v>
      </c>
      <c r="E711" t="s">
        <v>18</v>
      </c>
      <c r="F711">
        <v>27.283000000000001</v>
      </c>
      <c r="G711">
        <v>-103.667</v>
      </c>
      <c r="H711">
        <v>-6</v>
      </c>
      <c r="I711">
        <v>1398</v>
      </c>
      <c r="J711" t="str">
        <f>HYPERLINK("https://climate.onebuilding.org/WMO_Region_4_North_and_Central_America/MEX_Mexico/COA_Coahuila/MEX_COA_Sierra.Mojada.762800_TMYx.2007-2021.zip")</f>
        <v>https://climate.onebuilding.org/WMO_Region_4_North_and_Central_America/MEX_Mexico/COA_Coahuila/MEX_COA_Sierra.Mojada.762800_TMYx.2007-2021.zip</v>
      </c>
    </row>
    <row r="712" spans="1:10" x14ac:dyDescent="0.25">
      <c r="A712" t="s">
        <v>399</v>
      </c>
      <c r="B712" t="s">
        <v>437</v>
      </c>
      <c r="C712" t="s">
        <v>449</v>
      </c>
      <c r="D712">
        <v>762800</v>
      </c>
      <c r="E712" t="s">
        <v>18</v>
      </c>
      <c r="F712">
        <v>27.283000000000001</v>
      </c>
      <c r="G712">
        <v>-103.667</v>
      </c>
      <c r="H712">
        <v>-6</v>
      </c>
      <c r="I712">
        <v>1398</v>
      </c>
      <c r="J712" t="str">
        <f>HYPERLINK("https://climate.onebuilding.org/WMO_Region_4_North_and_Central_America/MEX_Mexico/COA_Coahuila/MEX_COA_Sierra.Mojada.762800_TMYx.2009-2023.zip")</f>
        <v>https://climate.onebuilding.org/WMO_Region_4_North_and_Central_America/MEX_Mexico/COA_Coahuila/MEX_COA_Sierra.Mojada.762800_TMYx.2009-2023.zip</v>
      </c>
    </row>
    <row r="713" spans="1:10" x14ac:dyDescent="0.25">
      <c r="A713" t="s">
        <v>399</v>
      </c>
      <c r="B713" t="s">
        <v>437</v>
      </c>
      <c r="C713" t="s">
        <v>449</v>
      </c>
      <c r="D713">
        <v>762800</v>
      </c>
      <c r="E713" t="s">
        <v>18</v>
      </c>
      <c r="F713">
        <v>27.283000000000001</v>
      </c>
      <c r="G713">
        <v>-103.667</v>
      </c>
      <c r="H713">
        <v>-6</v>
      </c>
      <c r="I713">
        <v>1398</v>
      </c>
      <c r="J713" t="str">
        <f>HYPERLINK("https://climate.onebuilding.org/WMO_Region_4_North_and_Central_America/MEX_Mexico/COA_Coahuila/MEX_COA_Sierra.Mojada.762800_TMYx.zip")</f>
        <v>https://climate.onebuilding.org/WMO_Region_4_North_and_Central_America/MEX_Mexico/COA_Coahuila/MEX_COA_Sierra.Mojada.762800_TMYx.zip</v>
      </c>
    </row>
    <row r="714" spans="1:10" x14ac:dyDescent="0.25">
      <c r="A714" t="s">
        <v>399</v>
      </c>
      <c r="B714" t="s">
        <v>450</v>
      </c>
      <c r="C714" t="s">
        <v>451</v>
      </c>
      <c r="D714">
        <v>762863</v>
      </c>
      <c r="E714" t="s">
        <v>452</v>
      </c>
      <c r="F714">
        <v>27.443999999999999</v>
      </c>
      <c r="G714">
        <v>-99.57</v>
      </c>
      <c r="H714">
        <v>-6</v>
      </c>
      <c r="I714">
        <v>147.5</v>
      </c>
      <c r="J714" t="str">
        <f>HYPERLINK("https://climate.onebuilding.org/WMO_Region_4_North_and_Central_America/MEX_Mexico/TAM_Tamaulipas/MEX_TAM_Nuevo.Laredo-Quetzalcoatl.Intl.AP.762863_TMYx.2004-2018.zip")</f>
        <v>https://climate.onebuilding.org/WMO_Region_4_North_and_Central_America/MEX_Mexico/TAM_Tamaulipas/MEX_TAM_Nuevo.Laredo-Quetzalcoatl.Intl.AP.762863_TMYx.2004-2018.zip</v>
      </c>
    </row>
    <row r="715" spans="1:10" x14ac:dyDescent="0.25">
      <c r="A715" t="s">
        <v>399</v>
      </c>
      <c r="B715" t="s">
        <v>450</v>
      </c>
      <c r="C715" t="s">
        <v>451</v>
      </c>
      <c r="D715">
        <v>762863</v>
      </c>
      <c r="E715" t="s">
        <v>10</v>
      </c>
      <c r="F715">
        <v>27.443999999999999</v>
      </c>
      <c r="G715">
        <v>-99.57</v>
      </c>
      <c r="H715">
        <v>-6</v>
      </c>
      <c r="I715">
        <v>147.5</v>
      </c>
      <c r="J715" t="str">
        <f>HYPERLINK("https://climate.onebuilding.org/WMO_Region_4_North_and_Central_America/MEX_Mexico/TAM_Tamaulipas/MEX_TAM_Nuevo.Laredo-Quetzalcoatl.Intl.AP.762863_TMYx.2007-2021.zip")</f>
        <v>https://climate.onebuilding.org/WMO_Region_4_North_and_Central_America/MEX_Mexico/TAM_Tamaulipas/MEX_TAM_Nuevo.Laredo-Quetzalcoatl.Intl.AP.762863_TMYx.2007-2021.zip</v>
      </c>
    </row>
    <row r="716" spans="1:10" x14ac:dyDescent="0.25">
      <c r="A716" t="s">
        <v>399</v>
      </c>
      <c r="B716" t="s">
        <v>450</v>
      </c>
      <c r="C716" t="s">
        <v>451</v>
      </c>
      <c r="D716">
        <v>762863</v>
      </c>
      <c r="E716" t="s">
        <v>10</v>
      </c>
      <c r="F716">
        <v>27.443999999999999</v>
      </c>
      <c r="G716">
        <v>-99.57</v>
      </c>
      <c r="H716">
        <v>-6</v>
      </c>
      <c r="I716">
        <v>147.5</v>
      </c>
      <c r="J716" t="str">
        <f>HYPERLINK("https://climate.onebuilding.org/WMO_Region_4_North_and_Central_America/MEX_Mexico/TAM_Tamaulipas/MEX_TAM_Nuevo.Laredo-Quetzalcoatl.Intl.AP.762863_TMYx.2009-2023.zip")</f>
        <v>https://climate.onebuilding.org/WMO_Region_4_North_and_Central_America/MEX_Mexico/TAM_Tamaulipas/MEX_TAM_Nuevo.Laredo-Quetzalcoatl.Intl.AP.762863_TMYx.2009-2023.zip</v>
      </c>
    </row>
    <row r="717" spans="1:10" x14ac:dyDescent="0.25">
      <c r="A717" t="s">
        <v>399</v>
      </c>
      <c r="B717" t="s">
        <v>450</v>
      </c>
      <c r="C717" t="s">
        <v>451</v>
      </c>
      <c r="D717">
        <v>762863</v>
      </c>
      <c r="E717" t="s">
        <v>10</v>
      </c>
      <c r="F717">
        <v>27.443999999999999</v>
      </c>
      <c r="G717">
        <v>-99.57</v>
      </c>
      <c r="H717">
        <v>-6</v>
      </c>
      <c r="I717">
        <v>147.5</v>
      </c>
      <c r="J717" t="str">
        <f>HYPERLINK("https://climate.onebuilding.org/WMO_Region_4_North_and_Central_America/MEX_Mexico/TAM_Tamaulipas/MEX_TAM_Nuevo.Laredo-Quetzalcoatl.Intl.AP.762863_TMYx.zip")</f>
        <v>https://climate.onebuilding.org/WMO_Region_4_North_and_Central_America/MEX_Mexico/TAM_Tamaulipas/MEX_TAM_Nuevo.Laredo-Quetzalcoatl.Intl.AP.762863_TMYx.zip</v>
      </c>
    </row>
    <row r="718" spans="1:10" x14ac:dyDescent="0.25">
      <c r="A718" t="s">
        <v>399</v>
      </c>
      <c r="B718" t="s">
        <v>429</v>
      </c>
      <c r="C718" t="s">
        <v>453</v>
      </c>
      <c r="D718">
        <v>763050</v>
      </c>
      <c r="E718" t="s">
        <v>454</v>
      </c>
      <c r="F718">
        <v>25.989000000000001</v>
      </c>
      <c r="G718">
        <v>-111.348</v>
      </c>
      <c r="H718">
        <v>-7</v>
      </c>
      <c r="I718">
        <v>10.4</v>
      </c>
      <c r="J718" t="str">
        <f>HYPERLINK("https://climate.onebuilding.org/WMO_Region_4_North_and_Central_America/MEX_Mexico/BCS_Baja_California_Sur/MEX_BCS_Loreto.Intl.AP.763050_TMYx.2004-2018.zip")</f>
        <v>https://climate.onebuilding.org/WMO_Region_4_North_and_Central_America/MEX_Mexico/BCS_Baja_California_Sur/MEX_BCS_Loreto.Intl.AP.763050_TMYx.2004-2018.zip</v>
      </c>
    </row>
    <row r="719" spans="1:10" x14ac:dyDescent="0.25">
      <c r="A719" t="s">
        <v>399</v>
      </c>
      <c r="B719" t="s">
        <v>429</v>
      </c>
      <c r="C719" t="s">
        <v>453</v>
      </c>
      <c r="D719">
        <v>763050</v>
      </c>
      <c r="E719" t="s">
        <v>10</v>
      </c>
      <c r="F719">
        <v>25.989000000000001</v>
      </c>
      <c r="G719">
        <v>-111.348</v>
      </c>
      <c r="H719">
        <v>-7</v>
      </c>
      <c r="I719">
        <v>10.4</v>
      </c>
      <c r="J719" t="str">
        <f>HYPERLINK("https://climate.onebuilding.org/WMO_Region_4_North_and_Central_America/MEX_Mexico/BCS_Baja_California_Sur/MEX_BCS_Loreto.Intl.AP.763050_TMYx.2007-2021.zip")</f>
        <v>https://climate.onebuilding.org/WMO_Region_4_North_and_Central_America/MEX_Mexico/BCS_Baja_California_Sur/MEX_BCS_Loreto.Intl.AP.763050_TMYx.2007-2021.zip</v>
      </c>
    </row>
    <row r="720" spans="1:10" x14ac:dyDescent="0.25">
      <c r="A720" t="s">
        <v>399</v>
      </c>
      <c r="B720" t="s">
        <v>429</v>
      </c>
      <c r="C720" t="s">
        <v>453</v>
      </c>
      <c r="D720">
        <v>763050</v>
      </c>
      <c r="E720" t="s">
        <v>10</v>
      </c>
      <c r="F720">
        <v>25.989000000000001</v>
      </c>
      <c r="G720">
        <v>-111.348</v>
      </c>
      <c r="H720">
        <v>-7</v>
      </c>
      <c r="I720">
        <v>10.4</v>
      </c>
      <c r="J720" t="str">
        <f>HYPERLINK("https://climate.onebuilding.org/WMO_Region_4_North_and_Central_America/MEX_Mexico/BCS_Baja_California_Sur/MEX_BCS_Loreto.Intl.AP.763050_TMYx.2009-2023.zip")</f>
        <v>https://climate.onebuilding.org/WMO_Region_4_North_and_Central_America/MEX_Mexico/BCS_Baja_California_Sur/MEX_BCS_Loreto.Intl.AP.763050_TMYx.2009-2023.zip</v>
      </c>
    </row>
    <row r="721" spans="1:10" x14ac:dyDescent="0.25">
      <c r="A721" t="s">
        <v>399</v>
      </c>
      <c r="B721" t="s">
        <v>429</v>
      </c>
      <c r="C721" t="s">
        <v>453</v>
      </c>
      <c r="D721">
        <v>763050</v>
      </c>
      <c r="E721" t="s">
        <v>10</v>
      </c>
      <c r="F721">
        <v>25.989000000000001</v>
      </c>
      <c r="G721">
        <v>-111.348</v>
      </c>
      <c r="H721">
        <v>-7</v>
      </c>
      <c r="I721">
        <v>10.4</v>
      </c>
      <c r="J721" t="str">
        <f>HYPERLINK("https://climate.onebuilding.org/WMO_Region_4_North_and_Central_America/MEX_Mexico/BCS_Baja_California_Sur/MEX_BCS_Loreto.Intl.AP.763050_TMYx.zip")</f>
        <v>https://climate.onebuilding.org/WMO_Region_4_North_and_Central_America/MEX_Mexico/BCS_Baja_California_Sur/MEX_BCS_Loreto.Intl.AP.763050_TMYx.zip</v>
      </c>
    </row>
    <row r="722" spans="1:10" x14ac:dyDescent="0.25">
      <c r="A722" t="s">
        <v>399</v>
      </c>
      <c r="B722" t="s">
        <v>455</v>
      </c>
      <c r="C722" t="s">
        <v>456</v>
      </c>
      <c r="D722">
        <v>763110</v>
      </c>
      <c r="E722" t="s">
        <v>457</v>
      </c>
      <c r="F722">
        <v>26.733000000000001</v>
      </c>
      <c r="G722">
        <v>-108.283</v>
      </c>
      <c r="H722">
        <v>-7</v>
      </c>
      <c r="I722">
        <v>238</v>
      </c>
      <c r="J722" t="str">
        <f>HYPERLINK("https://climate.onebuilding.org/WMO_Region_4_North_and_Central_America/MEX_Mexico/SIN_Sinaloa/MEX_SIN_Choix.763110_TMYx.2004-2018.zip")</f>
        <v>https://climate.onebuilding.org/WMO_Region_4_North_and_Central_America/MEX_Mexico/SIN_Sinaloa/MEX_SIN_Choix.763110_TMYx.2004-2018.zip</v>
      </c>
    </row>
    <row r="723" spans="1:10" x14ac:dyDescent="0.25">
      <c r="A723" t="s">
        <v>399</v>
      </c>
      <c r="B723" t="s">
        <v>455</v>
      </c>
      <c r="C723" t="s">
        <v>456</v>
      </c>
      <c r="D723">
        <v>763110</v>
      </c>
      <c r="E723" t="s">
        <v>10</v>
      </c>
      <c r="F723">
        <v>26.733000000000001</v>
      </c>
      <c r="G723">
        <v>-108.283</v>
      </c>
      <c r="H723">
        <v>-7</v>
      </c>
      <c r="I723">
        <v>238</v>
      </c>
      <c r="J723" t="str">
        <f>HYPERLINK("https://climate.onebuilding.org/WMO_Region_4_North_and_Central_America/MEX_Mexico/SIN_Sinaloa/MEX_SIN_Choix.763110_TMYx.2007-2021.zip")</f>
        <v>https://climate.onebuilding.org/WMO_Region_4_North_and_Central_America/MEX_Mexico/SIN_Sinaloa/MEX_SIN_Choix.763110_TMYx.2007-2021.zip</v>
      </c>
    </row>
    <row r="724" spans="1:10" x14ac:dyDescent="0.25">
      <c r="A724" t="s">
        <v>399</v>
      </c>
      <c r="B724" t="s">
        <v>455</v>
      </c>
      <c r="C724" t="s">
        <v>456</v>
      </c>
      <c r="D724">
        <v>763110</v>
      </c>
      <c r="E724" t="s">
        <v>10</v>
      </c>
      <c r="F724">
        <v>26.733000000000001</v>
      </c>
      <c r="G724">
        <v>-108.283</v>
      </c>
      <c r="H724">
        <v>-7</v>
      </c>
      <c r="I724">
        <v>238</v>
      </c>
      <c r="J724" t="str">
        <f>HYPERLINK("https://climate.onebuilding.org/WMO_Region_4_North_and_Central_America/MEX_Mexico/SIN_Sinaloa/MEX_SIN_Choix.763110_TMYx.2009-2023.zip")</f>
        <v>https://climate.onebuilding.org/WMO_Region_4_North_and_Central_America/MEX_Mexico/SIN_Sinaloa/MEX_SIN_Choix.763110_TMYx.2009-2023.zip</v>
      </c>
    </row>
    <row r="725" spans="1:10" x14ac:dyDescent="0.25">
      <c r="A725" t="s">
        <v>399</v>
      </c>
      <c r="B725" t="s">
        <v>455</v>
      </c>
      <c r="C725" t="s">
        <v>456</v>
      </c>
      <c r="D725">
        <v>763110</v>
      </c>
      <c r="E725" t="s">
        <v>10</v>
      </c>
      <c r="F725">
        <v>26.733000000000001</v>
      </c>
      <c r="G725">
        <v>-108.283</v>
      </c>
      <c r="H725">
        <v>-7</v>
      </c>
      <c r="I725">
        <v>238</v>
      </c>
      <c r="J725" t="str">
        <f>HYPERLINK("https://climate.onebuilding.org/WMO_Region_4_North_and_Central_America/MEX_Mexico/SIN_Sinaloa/MEX_SIN_Choix.763110_TMYx.zip")</f>
        <v>https://climate.onebuilding.org/WMO_Region_4_North_and_Central_America/MEX_Mexico/SIN_Sinaloa/MEX_SIN_Choix.763110_TMYx.zip</v>
      </c>
    </row>
    <row r="726" spans="1:10" x14ac:dyDescent="0.25">
      <c r="A726" t="s">
        <v>399</v>
      </c>
      <c r="B726" t="s">
        <v>413</v>
      </c>
      <c r="C726" t="s">
        <v>458</v>
      </c>
      <c r="D726">
        <v>763230</v>
      </c>
      <c r="E726" t="s">
        <v>459</v>
      </c>
      <c r="F726">
        <v>26.933</v>
      </c>
      <c r="G726">
        <v>-105.667</v>
      </c>
      <c r="H726">
        <v>-7</v>
      </c>
      <c r="I726">
        <v>1661</v>
      </c>
      <c r="J726" t="str">
        <f>HYPERLINK("https://climate.onebuilding.org/WMO_Region_4_North_and_Central_America/MEX_Mexico/CHH_Chihuahua/MEX_CHH_Hidalgo.del.Parral.763230_TMYx.2004-2018.zip")</f>
        <v>https://climate.onebuilding.org/WMO_Region_4_North_and_Central_America/MEX_Mexico/CHH_Chihuahua/MEX_CHH_Hidalgo.del.Parral.763230_TMYx.2004-2018.zip</v>
      </c>
    </row>
    <row r="727" spans="1:10" x14ac:dyDescent="0.25">
      <c r="A727" t="s">
        <v>399</v>
      </c>
      <c r="B727" t="s">
        <v>413</v>
      </c>
      <c r="C727" t="s">
        <v>458</v>
      </c>
      <c r="D727">
        <v>763230</v>
      </c>
      <c r="E727" t="s">
        <v>10</v>
      </c>
      <c r="F727">
        <v>26.933</v>
      </c>
      <c r="G727">
        <v>-105.667</v>
      </c>
      <c r="H727">
        <v>-7</v>
      </c>
      <c r="I727">
        <v>1661</v>
      </c>
      <c r="J727" t="str">
        <f>HYPERLINK("https://climate.onebuilding.org/WMO_Region_4_North_and_Central_America/MEX_Mexico/CHH_Chihuahua/MEX_CHH_Hidalgo.del.Parral.763230_TMYx.2007-2021.zip")</f>
        <v>https://climate.onebuilding.org/WMO_Region_4_North_and_Central_America/MEX_Mexico/CHH_Chihuahua/MEX_CHH_Hidalgo.del.Parral.763230_TMYx.2007-2021.zip</v>
      </c>
    </row>
    <row r="728" spans="1:10" x14ac:dyDescent="0.25">
      <c r="A728" t="s">
        <v>399</v>
      </c>
      <c r="B728" t="s">
        <v>413</v>
      </c>
      <c r="C728" t="s">
        <v>458</v>
      </c>
      <c r="D728">
        <v>763230</v>
      </c>
      <c r="E728" t="s">
        <v>10</v>
      </c>
      <c r="F728">
        <v>26.933</v>
      </c>
      <c r="G728">
        <v>-105.667</v>
      </c>
      <c r="H728">
        <v>-7</v>
      </c>
      <c r="I728">
        <v>1661</v>
      </c>
      <c r="J728" t="str">
        <f>HYPERLINK("https://climate.onebuilding.org/WMO_Region_4_North_and_Central_America/MEX_Mexico/CHH_Chihuahua/MEX_CHH_Hidalgo.del.Parral.763230_TMYx.2009-2023.zip")</f>
        <v>https://climate.onebuilding.org/WMO_Region_4_North_and_Central_America/MEX_Mexico/CHH_Chihuahua/MEX_CHH_Hidalgo.del.Parral.763230_TMYx.2009-2023.zip</v>
      </c>
    </row>
    <row r="729" spans="1:10" x14ac:dyDescent="0.25">
      <c r="A729" t="s">
        <v>399</v>
      </c>
      <c r="B729" t="s">
        <v>413</v>
      </c>
      <c r="C729" t="s">
        <v>458</v>
      </c>
      <c r="D729">
        <v>763230</v>
      </c>
      <c r="E729" t="s">
        <v>10</v>
      </c>
      <c r="F729">
        <v>26.933</v>
      </c>
      <c r="G729">
        <v>-105.667</v>
      </c>
      <c r="H729">
        <v>-7</v>
      </c>
      <c r="I729">
        <v>1661</v>
      </c>
      <c r="J729" t="str">
        <f>HYPERLINK("https://climate.onebuilding.org/WMO_Region_4_North_and_Central_America/MEX_Mexico/CHH_Chihuahua/MEX_CHH_Hidalgo.del.Parral.763230_TMYx.zip")</f>
        <v>https://climate.onebuilding.org/WMO_Region_4_North_and_Central_America/MEX_Mexico/CHH_Chihuahua/MEX_CHH_Hidalgo.del.Parral.763230_TMYx.zip</v>
      </c>
    </row>
    <row r="730" spans="1:10" x14ac:dyDescent="0.25">
      <c r="A730" t="s">
        <v>399</v>
      </c>
      <c r="B730" t="s">
        <v>437</v>
      </c>
      <c r="C730" t="s">
        <v>460</v>
      </c>
      <c r="D730">
        <v>763420</v>
      </c>
      <c r="E730" t="s">
        <v>461</v>
      </c>
      <c r="F730">
        <v>26.956</v>
      </c>
      <c r="G730">
        <v>-101.47</v>
      </c>
      <c r="H730">
        <v>-6</v>
      </c>
      <c r="I730">
        <v>568.1</v>
      </c>
      <c r="J730" t="str">
        <f>HYPERLINK("https://climate.onebuilding.org/WMO_Region_4_North_and_Central_America/MEX_Mexico/COA_Coahuila/MEX_COA_Monclova.763420_TMYx.2004-2018.zip")</f>
        <v>https://climate.onebuilding.org/WMO_Region_4_North_and_Central_America/MEX_Mexico/COA_Coahuila/MEX_COA_Monclova.763420_TMYx.2004-2018.zip</v>
      </c>
    </row>
    <row r="731" spans="1:10" x14ac:dyDescent="0.25">
      <c r="A731" t="s">
        <v>399</v>
      </c>
      <c r="B731" t="s">
        <v>437</v>
      </c>
      <c r="C731" t="s">
        <v>460</v>
      </c>
      <c r="D731">
        <v>763420</v>
      </c>
      <c r="E731" t="s">
        <v>10</v>
      </c>
      <c r="F731">
        <v>26.900300000000001</v>
      </c>
      <c r="G731">
        <v>-101.43389999999999</v>
      </c>
      <c r="H731">
        <v>-6</v>
      </c>
      <c r="I731">
        <v>615</v>
      </c>
      <c r="J731" t="str">
        <f>HYPERLINK("https://climate.onebuilding.org/WMO_Region_4_North_and_Central_America/MEX_Mexico/COA_Coahuila/MEX_COA_Monclova.763420_TMYx.2007-2021.zip")</f>
        <v>https://climate.onebuilding.org/WMO_Region_4_North_and_Central_America/MEX_Mexico/COA_Coahuila/MEX_COA_Monclova.763420_TMYx.2007-2021.zip</v>
      </c>
    </row>
    <row r="732" spans="1:10" x14ac:dyDescent="0.25">
      <c r="A732" t="s">
        <v>399</v>
      </c>
      <c r="B732" t="s">
        <v>437</v>
      </c>
      <c r="C732" t="s">
        <v>460</v>
      </c>
      <c r="D732">
        <v>763420</v>
      </c>
      <c r="E732" t="s">
        <v>10</v>
      </c>
      <c r="F732">
        <v>26.900300000000001</v>
      </c>
      <c r="G732">
        <v>-101.43389999999999</v>
      </c>
      <c r="H732">
        <v>-6</v>
      </c>
      <c r="I732">
        <v>615</v>
      </c>
      <c r="J732" t="str">
        <f>HYPERLINK("https://climate.onebuilding.org/WMO_Region_4_North_and_Central_America/MEX_Mexico/COA_Coahuila/MEX_COA_Monclova.763420_TMYx.2009-2023.zip")</f>
        <v>https://climate.onebuilding.org/WMO_Region_4_North_and_Central_America/MEX_Mexico/COA_Coahuila/MEX_COA_Monclova.763420_TMYx.2009-2023.zip</v>
      </c>
    </row>
    <row r="733" spans="1:10" x14ac:dyDescent="0.25">
      <c r="A733" t="s">
        <v>399</v>
      </c>
      <c r="B733" t="s">
        <v>437</v>
      </c>
      <c r="C733" t="s">
        <v>460</v>
      </c>
      <c r="D733">
        <v>763420</v>
      </c>
      <c r="E733" t="s">
        <v>10</v>
      </c>
      <c r="F733">
        <v>26.900300000000001</v>
      </c>
      <c r="G733">
        <v>-101.43389999999999</v>
      </c>
      <c r="H733">
        <v>-6</v>
      </c>
      <c r="I733">
        <v>615</v>
      </c>
      <c r="J733" t="str">
        <f>HYPERLINK("https://climate.onebuilding.org/WMO_Region_4_North_and_Central_America/MEX_Mexico/COA_Coahuila/MEX_COA_Monclova.763420_TMYx.zip")</f>
        <v>https://climate.onebuilding.org/WMO_Region_4_North_and_Central_America/MEX_Mexico/COA_Coahuila/MEX_COA_Monclova.763420_TMYx.zip</v>
      </c>
    </row>
    <row r="734" spans="1:10" x14ac:dyDescent="0.25">
      <c r="A734" t="s">
        <v>399</v>
      </c>
      <c r="B734" t="s">
        <v>429</v>
      </c>
      <c r="C734" t="s">
        <v>462</v>
      </c>
      <c r="D734">
        <v>763425</v>
      </c>
      <c r="E734" t="s">
        <v>18</v>
      </c>
      <c r="F734">
        <v>26.907</v>
      </c>
      <c r="G734">
        <v>-111.968</v>
      </c>
      <c r="H734">
        <v>-7</v>
      </c>
      <c r="I734">
        <v>42.7</v>
      </c>
      <c r="J734" t="str">
        <f>HYPERLINK("https://climate.onebuilding.org/WMO_Region_4_North_and_Central_America/MEX_Mexico/BCS_Baja_California_Sur/MEX_BCS_Mulege.763425_TMYx.2007-2021.zip")</f>
        <v>https://climate.onebuilding.org/WMO_Region_4_North_and_Central_America/MEX_Mexico/BCS_Baja_California_Sur/MEX_BCS_Mulege.763425_TMYx.2007-2021.zip</v>
      </c>
    </row>
    <row r="735" spans="1:10" x14ac:dyDescent="0.25">
      <c r="A735" t="s">
        <v>399</v>
      </c>
      <c r="B735" t="s">
        <v>429</v>
      </c>
      <c r="C735" t="s">
        <v>462</v>
      </c>
      <c r="D735">
        <v>763425</v>
      </c>
      <c r="E735" t="s">
        <v>18</v>
      </c>
      <c r="F735">
        <v>26.907</v>
      </c>
      <c r="G735">
        <v>-111.968</v>
      </c>
      <c r="H735">
        <v>-7</v>
      </c>
      <c r="I735">
        <v>42.7</v>
      </c>
      <c r="J735" t="str">
        <f>HYPERLINK("https://climate.onebuilding.org/WMO_Region_4_North_and_Central_America/MEX_Mexico/BCS_Baja_California_Sur/MEX_BCS_Mulege.763425_TMYx.2009-2023.zip")</f>
        <v>https://climate.onebuilding.org/WMO_Region_4_North_and_Central_America/MEX_Mexico/BCS_Baja_California_Sur/MEX_BCS_Mulege.763425_TMYx.2009-2023.zip</v>
      </c>
    </row>
    <row r="736" spans="1:10" x14ac:dyDescent="0.25">
      <c r="A736" t="s">
        <v>399</v>
      </c>
      <c r="B736" t="s">
        <v>429</v>
      </c>
      <c r="C736" t="s">
        <v>462</v>
      </c>
      <c r="D736">
        <v>763425</v>
      </c>
      <c r="E736" t="s">
        <v>18</v>
      </c>
      <c r="F736">
        <v>26.907</v>
      </c>
      <c r="G736">
        <v>-111.968</v>
      </c>
      <c r="H736">
        <v>-7</v>
      </c>
      <c r="I736">
        <v>42.7</v>
      </c>
      <c r="J736" t="str">
        <f>HYPERLINK("https://climate.onebuilding.org/WMO_Region_4_North_and_Central_America/MEX_Mexico/BCS_Baja_California_Sur/MEX_BCS_Mulege.763425_TMYx.zip")</f>
        <v>https://climate.onebuilding.org/WMO_Region_4_North_and_Central_America/MEX_Mexico/BCS_Baja_California_Sur/MEX_BCS_Mulege.763425_TMYx.zip</v>
      </c>
    </row>
    <row r="737" spans="1:10" x14ac:dyDescent="0.25">
      <c r="A737" t="s">
        <v>399</v>
      </c>
      <c r="B737" t="s">
        <v>450</v>
      </c>
      <c r="C737" t="s">
        <v>463</v>
      </c>
      <c r="D737">
        <v>763490</v>
      </c>
      <c r="E737" t="s">
        <v>18</v>
      </c>
      <c r="F737">
        <v>26.317</v>
      </c>
      <c r="G737">
        <v>-98.832999999999998</v>
      </c>
      <c r="H737">
        <v>-6</v>
      </c>
      <c r="I737">
        <v>68</v>
      </c>
      <c r="J737" t="str">
        <f>HYPERLINK("https://climate.onebuilding.org/WMO_Region_4_North_and_Central_America/MEX_Mexico/TAM_Tamaulipas/MEX_TAM_Camargo.763490_TMYx.2007-2021.zip")</f>
        <v>https://climate.onebuilding.org/WMO_Region_4_North_and_Central_America/MEX_Mexico/TAM_Tamaulipas/MEX_TAM_Camargo.763490_TMYx.2007-2021.zip</v>
      </c>
    </row>
    <row r="738" spans="1:10" x14ac:dyDescent="0.25">
      <c r="A738" t="s">
        <v>399</v>
      </c>
      <c r="B738" t="s">
        <v>450</v>
      </c>
      <c r="C738" t="s">
        <v>463</v>
      </c>
      <c r="D738">
        <v>763490</v>
      </c>
      <c r="E738" t="s">
        <v>18</v>
      </c>
      <c r="F738">
        <v>26.317</v>
      </c>
      <c r="G738">
        <v>-98.832999999999998</v>
      </c>
      <c r="H738">
        <v>-6</v>
      </c>
      <c r="I738">
        <v>68</v>
      </c>
      <c r="J738" t="str">
        <f>HYPERLINK("https://climate.onebuilding.org/WMO_Region_4_North_and_Central_America/MEX_Mexico/TAM_Tamaulipas/MEX_TAM_Camargo.763490_TMYx.2009-2023.zip")</f>
        <v>https://climate.onebuilding.org/WMO_Region_4_North_and_Central_America/MEX_Mexico/TAM_Tamaulipas/MEX_TAM_Camargo.763490_TMYx.2009-2023.zip</v>
      </c>
    </row>
    <row r="739" spans="1:10" x14ac:dyDescent="0.25">
      <c r="A739" t="s">
        <v>399</v>
      </c>
      <c r="B739" t="s">
        <v>450</v>
      </c>
      <c r="C739" t="s">
        <v>463</v>
      </c>
      <c r="D739">
        <v>763490</v>
      </c>
      <c r="E739" t="s">
        <v>18</v>
      </c>
      <c r="F739">
        <v>26.317</v>
      </c>
      <c r="G739">
        <v>-98.832999999999998</v>
      </c>
      <c r="H739">
        <v>-6</v>
      </c>
      <c r="I739">
        <v>68</v>
      </c>
      <c r="J739" t="str">
        <f>HYPERLINK("https://climate.onebuilding.org/WMO_Region_4_North_and_Central_America/MEX_Mexico/TAM_Tamaulipas/MEX_TAM_Camargo.763490_TMYx.zip")</f>
        <v>https://climate.onebuilding.org/WMO_Region_4_North_and_Central_America/MEX_Mexico/TAM_Tamaulipas/MEX_TAM_Camargo.763490_TMYx.zip</v>
      </c>
    </row>
    <row r="740" spans="1:10" x14ac:dyDescent="0.25">
      <c r="A740" t="s">
        <v>399</v>
      </c>
      <c r="B740" t="s">
        <v>450</v>
      </c>
      <c r="C740" t="s">
        <v>464</v>
      </c>
      <c r="D740">
        <v>763503</v>
      </c>
      <c r="E740" t="s">
        <v>465</v>
      </c>
      <c r="F740">
        <v>26.009</v>
      </c>
      <c r="G740">
        <v>-98.228999999999999</v>
      </c>
      <c r="H740">
        <v>-6</v>
      </c>
      <c r="I740">
        <v>42.4</v>
      </c>
      <c r="J740" t="str">
        <f>HYPERLINK("https://climate.onebuilding.org/WMO_Region_4_North_and_Central_America/MEX_Mexico/TAM_Tamaulipas/MEX_TAM_Reynosa-Blanco.Intl.AP.763503_TMYx.2004-2018.zip")</f>
        <v>https://climate.onebuilding.org/WMO_Region_4_North_and_Central_America/MEX_Mexico/TAM_Tamaulipas/MEX_TAM_Reynosa-Blanco.Intl.AP.763503_TMYx.2004-2018.zip</v>
      </c>
    </row>
    <row r="741" spans="1:10" x14ac:dyDescent="0.25">
      <c r="A741" t="s">
        <v>399</v>
      </c>
      <c r="B741" t="s">
        <v>450</v>
      </c>
      <c r="C741" t="s">
        <v>464</v>
      </c>
      <c r="D741">
        <v>763503</v>
      </c>
      <c r="E741" t="s">
        <v>10</v>
      </c>
      <c r="F741">
        <v>26.009</v>
      </c>
      <c r="G741">
        <v>-98.228999999999999</v>
      </c>
      <c r="H741">
        <v>-6</v>
      </c>
      <c r="I741">
        <v>42.4</v>
      </c>
      <c r="J741" t="str">
        <f>HYPERLINK("https://climate.onebuilding.org/WMO_Region_4_North_and_Central_America/MEX_Mexico/TAM_Tamaulipas/MEX_TAM_Reynosa-Blanco.Intl.AP.763503_TMYx.2007-2021.zip")</f>
        <v>https://climate.onebuilding.org/WMO_Region_4_North_and_Central_America/MEX_Mexico/TAM_Tamaulipas/MEX_TAM_Reynosa-Blanco.Intl.AP.763503_TMYx.2007-2021.zip</v>
      </c>
    </row>
    <row r="742" spans="1:10" x14ac:dyDescent="0.25">
      <c r="A742" t="s">
        <v>399</v>
      </c>
      <c r="B742" t="s">
        <v>450</v>
      </c>
      <c r="C742" t="s">
        <v>464</v>
      </c>
      <c r="D742">
        <v>763503</v>
      </c>
      <c r="E742" t="s">
        <v>10</v>
      </c>
      <c r="F742">
        <v>26.009</v>
      </c>
      <c r="G742">
        <v>-98.228999999999999</v>
      </c>
      <c r="H742">
        <v>-6</v>
      </c>
      <c r="I742">
        <v>42.4</v>
      </c>
      <c r="J742" t="str">
        <f>HYPERLINK("https://climate.onebuilding.org/WMO_Region_4_North_and_Central_America/MEX_Mexico/TAM_Tamaulipas/MEX_TAM_Reynosa-Blanco.Intl.AP.763503_TMYx.2009-2023.zip")</f>
        <v>https://climate.onebuilding.org/WMO_Region_4_North_and_Central_America/MEX_Mexico/TAM_Tamaulipas/MEX_TAM_Reynosa-Blanco.Intl.AP.763503_TMYx.2009-2023.zip</v>
      </c>
    </row>
    <row r="743" spans="1:10" x14ac:dyDescent="0.25">
      <c r="A743" t="s">
        <v>399</v>
      </c>
      <c r="B743" t="s">
        <v>450</v>
      </c>
      <c r="C743" t="s">
        <v>464</v>
      </c>
      <c r="D743">
        <v>763503</v>
      </c>
      <c r="E743" t="s">
        <v>10</v>
      </c>
      <c r="F743">
        <v>26.009</v>
      </c>
      <c r="G743">
        <v>-98.228999999999999</v>
      </c>
      <c r="H743">
        <v>-6</v>
      </c>
      <c r="I743">
        <v>42.4</v>
      </c>
      <c r="J743" t="str">
        <f>HYPERLINK("https://climate.onebuilding.org/WMO_Region_4_North_and_Central_America/MEX_Mexico/TAM_Tamaulipas/MEX_TAM_Reynosa-Blanco.Intl.AP.763503_TMYx.zip")</f>
        <v>https://climate.onebuilding.org/WMO_Region_4_North_and_Central_America/MEX_Mexico/TAM_Tamaulipas/MEX_TAM_Reynosa-Blanco.Intl.AP.763503_TMYx.zip</v>
      </c>
    </row>
    <row r="744" spans="1:10" x14ac:dyDescent="0.25">
      <c r="A744" t="s">
        <v>399</v>
      </c>
      <c r="B744" t="s">
        <v>455</v>
      </c>
      <c r="C744" t="s">
        <v>466</v>
      </c>
      <c r="D744">
        <v>763615</v>
      </c>
      <c r="E744" t="s">
        <v>467</v>
      </c>
      <c r="F744">
        <v>25.684999999999999</v>
      </c>
      <c r="G744">
        <v>-109.081</v>
      </c>
      <c r="H744">
        <v>-7</v>
      </c>
      <c r="I744">
        <v>4.9000000000000004</v>
      </c>
      <c r="J744" t="str">
        <f>HYPERLINK("https://climate.onebuilding.org/WMO_Region_4_North_and_Central_America/MEX_Mexico/SIN_Sinaloa/MEX_SIN_Los.Mochis-Valle.del.Fuerte.Intl.AP.763615_TMYx.2004-2018.zip")</f>
        <v>https://climate.onebuilding.org/WMO_Region_4_North_and_Central_America/MEX_Mexico/SIN_Sinaloa/MEX_SIN_Los.Mochis-Valle.del.Fuerte.Intl.AP.763615_TMYx.2004-2018.zip</v>
      </c>
    </row>
    <row r="745" spans="1:10" x14ac:dyDescent="0.25">
      <c r="A745" t="s">
        <v>399</v>
      </c>
      <c r="B745" t="s">
        <v>455</v>
      </c>
      <c r="C745" t="s">
        <v>466</v>
      </c>
      <c r="D745">
        <v>763615</v>
      </c>
      <c r="E745" t="s">
        <v>10</v>
      </c>
      <c r="F745">
        <v>25.684999999999999</v>
      </c>
      <c r="G745">
        <v>-109.081</v>
      </c>
      <c r="H745">
        <v>-7</v>
      </c>
      <c r="I745">
        <v>4.9000000000000004</v>
      </c>
      <c r="J745" t="str">
        <f>HYPERLINK("https://climate.onebuilding.org/WMO_Region_4_North_and_Central_America/MEX_Mexico/SIN_Sinaloa/MEX_SIN_Los.Mochis-Valle.del.Fuerte.Intl.AP.763615_TMYx.2007-2021.zip")</f>
        <v>https://climate.onebuilding.org/WMO_Region_4_North_and_Central_America/MEX_Mexico/SIN_Sinaloa/MEX_SIN_Los.Mochis-Valle.del.Fuerte.Intl.AP.763615_TMYx.2007-2021.zip</v>
      </c>
    </row>
    <row r="746" spans="1:10" x14ac:dyDescent="0.25">
      <c r="A746" t="s">
        <v>399</v>
      </c>
      <c r="B746" t="s">
        <v>455</v>
      </c>
      <c r="C746" t="s">
        <v>466</v>
      </c>
      <c r="D746">
        <v>763615</v>
      </c>
      <c r="E746" t="s">
        <v>10</v>
      </c>
      <c r="F746">
        <v>25.684999999999999</v>
      </c>
      <c r="G746">
        <v>-109.081</v>
      </c>
      <c r="H746">
        <v>-7</v>
      </c>
      <c r="I746">
        <v>4.9000000000000004</v>
      </c>
      <c r="J746" t="str">
        <f>HYPERLINK("https://climate.onebuilding.org/WMO_Region_4_North_and_Central_America/MEX_Mexico/SIN_Sinaloa/MEX_SIN_Los.Mochis-Valle.del.Fuerte.Intl.AP.763615_TMYx.2009-2023.zip")</f>
        <v>https://climate.onebuilding.org/WMO_Region_4_North_and_Central_America/MEX_Mexico/SIN_Sinaloa/MEX_SIN_Los.Mochis-Valle.del.Fuerte.Intl.AP.763615_TMYx.2009-2023.zip</v>
      </c>
    </row>
    <row r="747" spans="1:10" x14ac:dyDescent="0.25">
      <c r="A747" t="s">
        <v>399</v>
      </c>
      <c r="B747" t="s">
        <v>455</v>
      </c>
      <c r="C747" t="s">
        <v>466</v>
      </c>
      <c r="D747">
        <v>763615</v>
      </c>
      <c r="E747" t="s">
        <v>10</v>
      </c>
      <c r="F747">
        <v>25.684999999999999</v>
      </c>
      <c r="G747">
        <v>-109.081</v>
      </c>
      <c r="H747">
        <v>-7</v>
      </c>
      <c r="I747">
        <v>4.9000000000000004</v>
      </c>
      <c r="J747" t="str">
        <f>HYPERLINK("https://climate.onebuilding.org/WMO_Region_4_North_and_Central_America/MEX_Mexico/SIN_Sinaloa/MEX_SIN_Los.Mochis-Valle.del.Fuerte.Intl.AP.763615_TMYx.zip")</f>
        <v>https://climate.onebuilding.org/WMO_Region_4_North_and_Central_America/MEX_Mexico/SIN_Sinaloa/MEX_SIN_Los.Mochis-Valle.del.Fuerte.Intl.AP.763615_TMYx.zip</v>
      </c>
    </row>
    <row r="748" spans="1:10" x14ac:dyDescent="0.25">
      <c r="A748" t="s">
        <v>399</v>
      </c>
      <c r="B748" t="s">
        <v>468</v>
      </c>
      <c r="C748" t="s">
        <v>469</v>
      </c>
      <c r="D748">
        <v>763730</v>
      </c>
      <c r="E748" t="s">
        <v>470</v>
      </c>
      <c r="F748">
        <v>25.35</v>
      </c>
      <c r="G748">
        <v>-105.75</v>
      </c>
      <c r="H748">
        <v>-6</v>
      </c>
      <c r="I748">
        <v>1967</v>
      </c>
      <c r="J748" t="str">
        <f>HYPERLINK("https://climate.onebuilding.org/WMO_Region_4_North_and_Central_America/MEX_Mexico/DUR_Durango/MEX_DUR_Tepehuanes.763730_TMYx.2004-2018.zip")</f>
        <v>https://climate.onebuilding.org/WMO_Region_4_North_and_Central_America/MEX_Mexico/DUR_Durango/MEX_DUR_Tepehuanes.763730_TMYx.2004-2018.zip</v>
      </c>
    </row>
    <row r="749" spans="1:10" x14ac:dyDescent="0.25">
      <c r="A749" t="s">
        <v>399</v>
      </c>
      <c r="B749" t="s">
        <v>468</v>
      </c>
      <c r="C749" t="s">
        <v>469</v>
      </c>
      <c r="D749">
        <v>763730</v>
      </c>
      <c r="E749" t="s">
        <v>10</v>
      </c>
      <c r="F749">
        <v>25.35</v>
      </c>
      <c r="G749">
        <v>-105.75</v>
      </c>
      <c r="H749">
        <v>-6</v>
      </c>
      <c r="I749">
        <v>1967</v>
      </c>
      <c r="J749" t="str">
        <f>HYPERLINK("https://climate.onebuilding.org/WMO_Region_4_North_and_Central_America/MEX_Mexico/DUR_Durango/MEX_DUR_Tepehuanes.763730_TMYx.2007-2021.zip")</f>
        <v>https://climate.onebuilding.org/WMO_Region_4_North_and_Central_America/MEX_Mexico/DUR_Durango/MEX_DUR_Tepehuanes.763730_TMYx.2007-2021.zip</v>
      </c>
    </row>
    <row r="750" spans="1:10" x14ac:dyDescent="0.25">
      <c r="A750" t="s">
        <v>399</v>
      </c>
      <c r="B750" t="s">
        <v>468</v>
      </c>
      <c r="C750" t="s">
        <v>469</v>
      </c>
      <c r="D750">
        <v>763730</v>
      </c>
      <c r="E750" t="s">
        <v>10</v>
      </c>
      <c r="F750">
        <v>25.35</v>
      </c>
      <c r="G750">
        <v>-105.75</v>
      </c>
      <c r="H750">
        <v>-6</v>
      </c>
      <c r="I750">
        <v>1967</v>
      </c>
      <c r="J750" t="str">
        <f>HYPERLINK("https://climate.onebuilding.org/WMO_Region_4_North_and_Central_America/MEX_Mexico/DUR_Durango/MEX_DUR_Tepehuanes.763730_TMYx.2009-2023.zip")</f>
        <v>https://climate.onebuilding.org/WMO_Region_4_North_and_Central_America/MEX_Mexico/DUR_Durango/MEX_DUR_Tepehuanes.763730_TMYx.2009-2023.zip</v>
      </c>
    </row>
    <row r="751" spans="1:10" x14ac:dyDescent="0.25">
      <c r="A751" t="s">
        <v>399</v>
      </c>
      <c r="B751" t="s">
        <v>468</v>
      </c>
      <c r="C751" t="s">
        <v>469</v>
      </c>
      <c r="D751">
        <v>763730</v>
      </c>
      <c r="E751" t="s">
        <v>10</v>
      </c>
      <c r="F751">
        <v>25.35</v>
      </c>
      <c r="G751">
        <v>-105.75</v>
      </c>
      <c r="H751">
        <v>-6</v>
      </c>
      <c r="I751">
        <v>1967</v>
      </c>
      <c r="J751" t="str">
        <f>HYPERLINK("https://climate.onebuilding.org/WMO_Region_4_North_and_Central_America/MEX_Mexico/DUR_Durango/MEX_DUR_Tepehuanes.763730_TMYx.zip")</f>
        <v>https://climate.onebuilding.org/WMO_Region_4_North_and_Central_America/MEX_Mexico/DUR_Durango/MEX_DUR_Tepehuanes.763730_TMYx.zip</v>
      </c>
    </row>
    <row r="752" spans="1:10" x14ac:dyDescent="0.25">
      <c r="A752" t="s">
        <v>399</v>
      </c>
      <c r="B752" t="s">
        <v>468</v>
      </c>
      <c r="C752" t="s">
        <v>471</v>
      </c>
      <c r="D752">
        <v>763810</v>
      </c>
      <c r="E752" t="s">
        <v>18</v>
      </c>
      <c r="F752">
        <v>25.533000000000001</v>
      </c>
      <c r="G752">
        <v>-103.517</v>
      </c>
      <c r="H752">
        <v>-6</v>
      </c>
      <c r="I752">
        <v>1140</v>
      </c>
      <c r="J752" t="str">
        <f>HYPERLINK("https://climate.onebuilding.org/WMO_Region_4_North_and_Central_America/MEX_Mexico/DUR_Durango/MEX_DUR_Lerdo.763810_TMYx.2007-2021.zip")</f>
        <v>https://climate.onebuilding.org/WMO_Region_4_North_and_Central_America/MEX_Mexico/DUR_Durango/MEX_DUR_Lerdo.763810_TMYx.2007-2021.zip</v>
      </c>
    </row>
    <row r="753" spans="1:10" x14ac:dyDescent="0.25">
      <c r="A753" t="s">
        <v>399</v>
      </c>
      <c r="B753" t="s">
        <v>468</v>
      </c>
      <c r="C753" t="s">
        <v>471</v>
      </c>
      <c r="D753">
        <v>763810</v>
      </c>
      <c r="E753" t="s">
        <v>18</v>
      </c>
      <c r="F753">
        <v>25.533000000000001</v>
      </c>
      <c r="G753">
        <v>-103.517</v>
      </c>
      <c r="H753">
        <v>-6</v>
      </c>
      <c r="I753">
        <v>1140</v>
      </c>
      <c r="J753" t="str">
        <f>HYPERLINK("https://climate.onebuilding.org/WMO_Region_4_North_and_Central_America/MEX_Mexico/DUR_Durango/MEX_DUR_Lerdo.763810_TMYx.2009-2023.zip")</f>
        <v>https://climate.onebuilding.org/WMO_Region_4_North_and_Central_America/MEX_Mexico/DUR_Durango/MEX_DUR_Lerdo.763810_TMYx.2009-2023.zip</v>
      </c>
    </row>
    <row r="754" spans="1:10" x14ac:dyDescent="0.25">
      <c r="A754" t="s">
        <v>399</v>
      </c>
      <c r="B754" t="s">
        <v>468</v>
      </c>
      <c r="C754" t="s">
        <v>471</v>
      </c>
      <c r="D754">
        <v>763810</v>
      </c>
      <c r="E754" t="s">
        <v>18</v>
      </c>
      <c r="F754">
        <v>25.533000000000001</v>
      </c>
      <c r="G754">
        <v>-103.517</v>
      </c>
      <c r="H754">
        <v>-6</v>
      </c>
      <c r="I754">
        <v>1140</v>
      </c>
      <c r="J754" t="str">
        <f>HYPERLINK("https://climate.onebuilding.org/WMO_Region_4_North_and_Central_America/MEX_Mexico/DUR_Durango/MEX_DUR_Lerdo.763810_TMYx.zip")</f>
        <v>https://climate.onebuilding.org/WMO_Region_4_North_and_Central_America/MEX_Mexico/DUR_Durango/MEX_DUR_Lerdo.763810_TMYx.zip</v>
      </c>
    </row>
    <row r="755" spans="1:10" x14ac:dyDescent="0.25">
      <c r="A755" t="s">
        <v>399</v>
      </c>
      <c r="B755" t="s">
        <v>437</v>
      </c>
      <c r="C755" t="s">
        <v>472</v>
      </c>
      <c r="D755">
        <v>763820</v>
      </c>
      <c r="E755" t="s">
        <v>473</v>
      </c>
      <c r="F755">
        <v>25.568000000000001</v>
      </c>
      <c r="G755">
        <v>-103.411</v>
      </c>
      <c r="H755">
        <v>-6</v>
      </c>
      <c r="I755">
        <v>1124.0999999999999</v>
      </c>
      <c r="J755" t="str">
        <f>HYPERLINK("https://climate.onebuilding.org/WMO_Region_4_North_and_Central_America/MEX_Mexico/COA_Coahuila/MEX_COA_Torreon.763820_TMYx.2004-2018.zip")</f>
        <v>https://climate.onebuilding.org/WMO_Region_4_North_and_Central_America/MEX_Mexico/COA_Coahuila/MEX_COA_Torreon.763820_TMYx.2004-2018.zip</v>
      </c>
    </row>
    <row r="756" spans="1:10" x14ac:dyDescent="0.25">
      <c r="A756" t="s">
        <v>399</v>
      </c>
      <c r="B756" t="s">
        <v>437</v>
      </c>
      <c r="C756" t="s">
        <v>472</v>
      </c>
      <c r="D756">
        <v>763820</v>
      </c>
      <c r="E756" t="s">
        <v>10</v>
      </c>
      <c r="F756">
        <v>25.52</v>
      </c>
      <c r="G756">
        <v>-103.4161</v>
      </c>
      <c r="H756">
        <v>-6</v>
      </c>
      <c r="I756">
        <v>1124.0999999999999</v>
      </c>
      <c r="J756" t="str">
        <f>HYPERLINK("https://climate.onebuilding.org/WMO_Region_4_North_and_Central_America/MEX_Mexico/COA_Coahuila/MEX_COA_Torreon.763820_TMYx.2007-2021.zip")</f>
        <v>https://climate.onebuilding.org/WMO_Region_4_North_and_Central_America/MEX_Mexico/COA_Coahuila/MEX_COA_Torreon.763820_TMYx.2007-2021.zip</v>
      </c>
    </row>
    <row r="757" spans="1:10" x14ac:dyDescent="0.25">
      <c r="A757" t="s">
        <v>399</v>
      </c>
      <c r="B757" t="s">
        <v>437</v>
      </c>
      <c r="C757" t="s">
        <v>472</v>
      </c>
      <c r="D757">
        <v>763820</v>
      </c>
      <c r="E757" t="s">
        <v>10</v>
      </c>
      <c r="F757">
        <v>25.52</v>
      </c>
      <c r="G757">
        <v>-103.4161</v>
      </c>
      <c r="H757">
        <v>-6</v>
      </c>
      <c r="I757">
        <v>1124.0999999999999</v>
      </c>
      <c r="J757" t="str">
        <f>HYPERLINK("https://climate.onebuilding.org/WMO_Region_4_North_and_Central_America/MEX_Mexico/COA_Coahuila/MEX_COA_Torreon.763820_TMYx.2009-2023.zip")</f>
        <v>https://climate.onebuilding.org/WMO_Region_4_North_and_Central_America/MEX_Mexico/COA_Coahuila/MEX_COA_Torreon.763820_TMYx.2009-2023.zip</v>
      </c>
    </row>
    <row r="758" spans="1:10" x14ac:dyDescent="0.25">
      <c r="A758" t="s">
        <v>399</v>
      </c>
      <c r="B758" t="s">
        <v>437</v>
      </c>
      <c r="C758" t="s">
        <v>472</v>
      </c>
      <c r="D758">
        <v>763820</v>
      </c>
      <c r="E758" t="s">
        <v>10</v>
      </c>
      <c r="F758">
        <v>25.52</v>
      </c>
      <c r="G758">
        <v>-103.4161</v>
      </c>
      <c r="H758">
        <v>-6</v>
      </c>
      <c r="I758">
        <v>1124.0999999999999</v>
      </c>
      <c r="J758" t="str">
        <f>HYPERLINK("https://climate.onebuilding.org/WMO_Region_4_North_and_Central_America/MEX_Mexico/COA_Coahuila/MEX_COA_Torreon.763820_TMYx.zip")</f>
        <v>https://climate.onebuilding.org/WMO_Region_4_North_and_Central_America/MEX_Mexico/COA_Coahuila/MEX_COA_Torreon.763820_TMYx.zip</v>
      </c>
    </row>
    <row r="759" spans="1:10" x14ac:dyDescent="0.25">
      <c r="A759" t="s">
        <v>399</v>
      </c>
      <c r="B759" t="s">
        <v>437</v>
      </c>
      <c r="C759" t="s">
        <v>474</v>
      </c>
      <c r="D759">
        <v>763900</v>
      </c>
      <c r="E759" t="s">
        <v>475</v>
      </c>
      <c r="F759">
        <v>25.548999999999999</v>
      </c>
      <c r="G759">
        <v>-100.929</v>
      </c>
      <c r="H759">
        <v>-6</v>
      </c>
      <c r="I759">
        <v>1456.3</v>
      </c>
      <c r="J759" t="str">
        <f>HYPERLINK("https://climate.onebuilding.org/WMO_Region_4_North_and_Central_America/MEX_Mexico/COA_Coahuila/MEX_COA_Saltillo.763900_TMYx.2004-2018.zip")</f>
        <v>https://climate.onebuilding.org/WMO_Region_4_North_and_Central_America/MEX_Mexico/COA_Coahuila/MEX_COA_Saltillo.763900_TMYx.2004-2018.zip</v>
      </c>
    </row>
    <row r="760" spans="1:10" x14ac:dyDescent="0.25">
      <c r="A760" t="s">
        <v>399</v>
      </c>
      <c r="B760" t="s">
        <v>437</v>
      </c>
      <c r="C760" t="s">
        <v>474</v>
      </c>
      <c r="D760">
        <v>763900</v>
      </c>
      <c r="E760" t="s">
        <v>10</v>
      </c>
      <c r="F760">
        <v>25.351400000000002</v>
      </c>
      <c r="G760">
        <v>-101.0239</v>
      </c>
      <c r="H760">
        <v>-6</v>
      </c>
      <c r="I760">
        <v>1790</v>
      </c>
      <c r="J760" t="str">
        <f>HYPERLINK("https://climate.onebuilding.org/WMO_Region_4_North_and_Central_America/MEX_Mexico/COA_Coahuila/MEX_COA_Saltillo.763900_TMYx.2007-2021.zip")</f>
        <v>https://climate.onebuilding.org/WMO_Region_4_North_and_Central_America/MEX_Mexico/COA_Coahuila/MEX_COA_Saltillo.763900_TMYx.2007-2021.zip</v>
      </c>
    </row>
    <row r="761" spans="1:10" x14ac:dyDescent="0.25">
      <c r="A761" t="s">
        <v>399</v>
      </c>
      <c r="B761" t="s">
        <v>437</v>
      </c>
      <c r="C761" t="s">
        <v>474</v>
      </c>
      <c r="D761">
        <v>763900</v>
      </c>
      <c r="E761" t="s">
        <v>10</v>
      </c>
      <c r="F761">
        <v>25.351400000000002</v>
      </c>
      <c r="G761">
        <v>-101.0239</v>
      </c>
      <c r="H761">
        <v>-6</v>
      </c>
      <c r="I761">
        <v>1790</v>
      </c>
      <c r="J761" t="str">
        <f>HYPERLINK("https://climate.onebuilding.org/WMO_Region_4_North_and_Central_America/MEX_Mexico/COA_Coahuila/MEX_COA_Saltillo.763900_TMYx.2009-2023.zip")</f>
        <v>https://climate.onebuilding.org/WMO_Region_4_North_and_Central_America/MEX_Mexico/COA_Coahuila/MEX_COA_Saltillo.763900_TMYx.2009-2023.zip</v>
      </c>
    </row>
    <row r="762" spans="1:10" x14ac:dyDescent="0.25">
      <c r="A762" t="s">
        <v>399</v>
      </c>
      <c r="B762" t="s">
        <v>437</v>
      </c>
      <c r="C762" t="s">
        <v>474</v>
      </c>
      <c r="D762">
        <v>763900</v>
      </c>
      <c r="E762" t="s">
        <v>10</v>
      </c>
      <c r="F762">
        <v>25.351400000000002</v>
      </c>
      <c r="G762">
        <v>-101.0239</v>
      </c>
      <c r="H762">
        <v>-6</v>
      </c>
      <c r="I762">
        <v>1790</v>
      </c>
      <c r="J762" t="str">
        <f>HYPERLINK("https://climate.onebuilding.org/WMO_Region_4_North_and_Central_America/MEX_Mexico/COA_Coahuila/MEX_COA_Saltillo.763900_TMYx.zip")</f>
        <v>https://climate.onebuilding.org/WMO_Region_4_North_and_Central_America/MEX_Mexico/COA_Coahuila/MEX_COA_Saltillo.763900_TMYx.zip</v>
      </c>
    </row>
    <row r="763" spans="1:10" x14ac:dyDescent="0.25">
      <c r="A763" t="s">
        <v>399</v>
      </c>
      <c r="B763" t="s">
        <v>476</v>
      </c>
      <c r="C763" t="s">
        <v>477</v>
      </c>
      <c r="D763">
        <v>763930</v>
      </c>
      <c r="E763" t="s">
        <v>478</v>
      </c>
      <c r="F763">
        <v>25.733000000000001</v>
      </c>
      <c r="G763">
        <v>-100.3</v>
      </c>
      <c r="H763">
        <v>-6</v>
      </c>
      <c r="I763">
        <v>515</v>
      </c>
      <c r="J763" t="str">
        <f>HYPERLINK("https://climate.onebuilding.org/WMO_Region_4_North_and_Central_America/MEX_Mexico/NLE_Nuevo_Leon/MEX_NLE_Monterrey.763930_TMYx.2004-2018.zip")</f>
        <v>https://climate.onebuilding.org/WMO_Region_4_North_and_Central_America/MEX_Mexico/NLE_Nuevo_Leon/MEX_NLE_Monterrey.763930_TMYx.2004-2018.zip</v>
      </c>
    </row>
    <row r="764" spans="1:10" x14ac:dyDescent="0.25">
      <c r="A764" t="s">
        <v>399</v>
      </c>
      <c r="B764" t="s">
        <v>476</v>
      </c>
      <c r="C764" t="s">
        <v>477</v>
      </c>
      <c r="D764">
        <v>763930</v>
      </c>
      <c r="E764" t="s">
        <v>10</v>
      </c>
      <c r="F764">
        <v>25.682500000000001</v>
      </c>
      <c r="G764">
        <v>-100.2717</v>
      </c>
      <c r="H764">
        <v>-6</v>
      </c>
      <c r="I764">
        <v>515</v>
      </c>
      <c r="J764" t="str">
        <f>HYPERLINK("https://climate.onebuilding.org/WMO_Region_4_North_and_Central_America/MEX_Mexico/NLE_Nuevo_Leon/MEX_NLE_Monterrey.763930_TMYx.2007-2021.zip")</f>
        <v>https://climate.onebuilding.org/WMO_Region_4_North_and_Central_America/MEX_Mexico/NLE_Nuevo_Leon/MEX_NLE_Monterrey.763930_TMYx.2007-2021.zip</v>
      </c>
    </row>
    <row r="765" spans="1:10" x14ac:dyDescent="0.25">
      <c r="A765" t="s">
        <v>399</v>
      </c>
      <c r="B765" t="s">
        <v>476</v>
      </c>
      <c r="C765" t="s">
        <v>477</v>
      </c>
      <c r="D765">
        <v>763930</v>
      </c>
      <c r="E765" t="s">
        <v>10</v>
      </c>
      <c r="F765">
        <v>25.682500000000001</v>
      </c>
      <c r="G765">
        <v>-100.2717</v>
      </c>
      <c r="H765">
        <v>-6</v>
      </c>
      <c r="I765">
        <v>515</v>
      </c>
      <c r="J765" t="str">
        <f>HYPERLINK("https://climate.onebuilding.org/WMO_Region_4_North_and_Central_America/MEX_Mexico/NLE_Nuevo_Leon/MEX_NLE_Monterrey.763930_TMYx.2009-2023.zip")</f>
        <v>https://climate.onebuilding.org/WMO_Region_4_North_and_Central_America/MEX_Mexico/NLE_Nuevo_Leon/MEX_NLE_Monterrey.763930_TMYx.2009-2023.zip</v>
      </c>
    </row>
    <row r="766" spans="1:10" x14ac:dyDescent="0.25">
      <c r="A766" t="s">
        <v>399</v>
      </c>
      <c r="B766" t="s">
        <v>476</v>
      </c>
      <c r="C766" t="s">
        <v>477</v>
      </c>
      <c r="D766">
        <v>763930</v>
      </c>
      <c r="E766" t="s">
        <v>10</v>
      </c>
      <c r="F766">
        <v>25.682500000000001</v>
      </c>
      <c r="G766">
        <v>-100.2717</v>
      </c>
      <c r="H766">
        <v>-6</v>
      </c>
      <c r="I766">
        <v>515</v>
      </c>
      <c r="J766" t="str">
        <f>HYPERLINK("https://climate.onebuilding.org/WMO_Region_4_North_and_Central_America/MEX_Mexico/NLE_Nuevo_Leon/MEX_NLE_Monterrey.763930_TMYx.zip")</f>
        <v>https://climate.onebuilding.org/WMO_Region_4_North_and_Central_America/MEX_Mexico/NLE_Nuevo_Leon/MEX_NLE_Monterrey.763930_TMYx.zip</v>
      </c>
    </row>
    <row r="767" spans="1:10" x14ac:dyDescent="0.25">
      <c r="A767" t="s">
        <v>399</v>
      </c>
      <c r="B767" t="s">
        <v>476</v>
      </c>
      <c r="C767" t="s">
        <v>479</v>
      </c>
      <c r="D767">
        <v>763940</v>
      </c>
      <c r="E767" t="s">
        <v>480</v>
      </c>
      <c r="F767">
        <v>25.866700000000002</v>
      </c>
      <c r="G767">
        <v>-100.2333</v>
      </c>
      <c r="H767">
        <v>-6</v>
      </c>
      <c r="I767">
        <v>449.9</v>
      </c>
      <c r="J767" t="str">
        <f>HYPERLINK("https://climate.onebuilding.org/WMO_Region_4_North_and_Central_America/MEX_Mexico/NLE_Nuevo_Leon/MEX_NLE_Monterrey-del.Norte.Intl.AP.763940_TMYx.2004-2018.zip")</f>
        <v>https://climate.onebuilding.org/WMO_Region_4_North_and_Central_America/MEX_Mexico/NLE_Nuevo_Leon/MEX_NLE_Monterrey-del.Norte.Intl.AP.763940_TMYx.2004-2018.zip</v>
      </c>
    </row>
    <row r="768" spans="1:10" x14ac:dyDescent="0.25">
      <c r="A768" t="s">
        <v>399</v>
      </c>
      <c r="B768" t="s">
        <v>476</v>
      </c>
      <c r="C768" t="s">
        <v>479</v>
      </c>
      <c r="D768">
        <v>763940</v>
      </c>
      <c r="E768" t="s">
        <v>10</v>
      </c>
      <c r="F768">
        <v>25.866700000000002</v>
      </c>
      <c r="G768">
        <v>-100.2333</v>
      </c>
      <c r="H768">
        <v>-6</v>
      </c>
      <c r="I768">
        <v>449.9</v>
      </c>
      <c r="J768" t="str">
        <f>HYPERLINK("https://climate.onebuilding.org/WMO_Region_4_North_and_Central_America/MEX_Mexico/NLE_Nuevo_Leon/MEX_NLE_Monterrey-del.Norte.Intl.AP.763940_TMYx.2007-2021.zip")</f>
        <v>https://climate.onebuilding.org/WMO_Region_4_North_and_Central_America/MEX_Mexico/NLE_Nuevo_Leon/MEX_NLE_Monterrey-del.Norte.Intl.AP.763940_TMYx.2007-2021.zip</v>
      </c>
    </row>
    <row r="769" spans="1:10" x14ac:dyDescent="0.25">
      <c r="A769" t="s">
        <v>399</v>
      </c>
      <c r="B769" t="s">
        <v>476</v>
      </c>
      <c r="C769" t="s">
        <v>479</v>
      </c>
      <c r="D769">
        <v>763940</v>
      </c>
      <c r="E769" t="s">
        <v>10</v>
      </c>
      <c r="F769">
        <v>25.866700000000002</v>
      </c>
      <c r="G769">
        <v>-100.2333</v>
      </c>
      <c r="H769">
        <v>-6</v>
      </c>
      <c r="I769">
        <v>449.9</v>
      </c>
      <c r="J769" t="str">
        <f>HYPERLINK("https://climate.onebuilding.org/WMO_Region_4_North_and_Central_America/MEX_Mexico/NLE_Nuevo_Leon/MEX_NLE_Monterrey-del.Norte.Intl.AP.763940_TMYx.2009-2023.zip")</f>
        <v>https://climate.onebuilding.org/WMO_Region_4_North_and_Central_America/MEX_Mexico/NLE_Nuevo_Leon/MEX_NLE_Monterrey-del.Norte.Intl.AP.763940_TMYx.2009-2023.zip</v>
      </c>
    </row>
    <row r="770" spans="1:10" x14ac:dyDescent="0.25">
      <c r="A770" t="s">
        <v>399</v>
      </c>
      <c r="B770" t="s">
        <v>476</v>
      </c>
      <c r="C770" t="s">
        <v>479</v>
      </c>
      <c r="D770">
        <v>763940</v>
      </c>
      <c r="E770" t="s">
        <v>10</v>
      </c>
      <c r="F770">
        <v>25.866700000000002</v>
      </c>
      <c r="G770">
        <v>-100.2333</v>
      </c>
      <c r="H770">
        <v>-6</v>
      </c>
      <c r="I770">
        <v>449.9</v>
      </c>
      <c r="J770" t="str">
        <f>HYPERLINK("https://climate.onebuilding.org/WMO_Region_4_North_and_Central_America/MEX_Mexico/NLE_Nuevo_Leon/MEX_NLE_Monterrey-del.Norte.Intl.AP.763940_TMYx.zip")</f>
        <v>https://climate.onebuilding.org/WMO_Region_4_North_and_Central_America/MEX_Mexico/NLE_Nuevo_Leon/MEX_NLE_Monterrey-del.Norte.Intl.AP.763940_TMYx.zip</v>
      </c>
    </row>
    <row r="771" spans="1:10" x14ac:dyDescent="0.25">
      <c r="A771" t="s">
        <v>399</v>
      </c>
      <c r="B771" t="s">
        <v>476</v>
      </c>
      <c r="C771" t="s">
        <v>481</v>
      </c>
      <c r="D771">
        <v>763943</v>
      </c>
      <c r="E771" t="s">
        <v>482</v>
      </c>
      <c r="F771">
        <v>25.777999999999999</v>
      </c>
      <c r="G771">
        <v>-100.107</v>
      </c>
      <c r="H771">
        <v>-6</v>
      </c>
      <c r="I771">
        <v>389.5</v>
      </c>
      <c r="J771" t="str">
        <f>HYPERLINK("https://climate.onebuilding.org/WMO_Region_4_North_and_Central_America/MEX_Mexico/NLE_Nuevo_Leon/MEX_NLE_Monterrey-Escobedo.Intl.AP.763943_TMYx.2004-2018.zip")</f>
        <v>https://climate.onebuilding.org/WMO_Region_4_North_and_Central_America/MEX_Mexico/NLE_Nuevo_Leon/MEX_NLE_Monterrey-Escobedo.Intl.AP.763943_TMYx.2004-2018.zip</v>
      </c>
    </row>
    <row r="772" spans="1:10" x14ac:dyDescent="0.25">
      <c r="A772" t="s">
        <v>399</v>
      </c>
      <c r="B772" t="s">
        <v>476</v>
      </c>
      <c r="C772" t="s">
        <v>481</v>
      </c>
      <c r="D772">
        <v>763943</v>
      </c>
      <c r="E772" t="s">
        <v>10</v>
      </c>
      <c r="F772">
        <v>25.777999999999999</v>
      </c>
      <c r="G772">
        <v>-100.107</v>
      </c>
      <c r="H772">
        <v>-6</v>
      </c>
      <c r="I772">
        <v>389.5</v>
      </c>
      <c r="J772" t="str">
        <f>HYPERLINK("https://climate.onebuilding.org/WMO_Region_4_North_and_Central_America/MEX_Mexico/NLE_Nuevo_Leon/MEX_NLE_Monterrey-Escobedo.Intl.AP.763943_TMYx.2007-2021.zip")</f>
        <v>https://climate.onebuilding.org/WMO_Region_4_North_and_Central_America/MEX_Mexico/NLE_Nuevo_Leon/MEX_NLE_Monterrey-Escobedo.Intl.AP.763943_TMYx.2007-2021.zip</v>
      </c>
    </row>
    <row r="773" spans="1:10" x14ac:dyDescent="0.25">
      <c r="A773" t="s">
        <v>399</v>
      </c>
      <c r="B773" t="s">
        <v>476</v>
      </c>
      <c r="C773" t="s">
        <v>481</v>
      </c>
      <c r="D773">
        <v>763943</v>
      </c>
      <c r="E773" t="s">
        <v>10</v>
      </c>
      <c r="F773">
        <v>25.777999999999999</v>
      </c>
      <c r="G773">
        <v>-100.107</v>
      </c>
      <c r="H773">
        <v>-6</v>
      </c>
      <c r="I773">
        <v>389.5</v>
      </c>
      <c r="J773" t="str">
        <f>HYPERLINK("https://climate.onebuilding.org/WMO_Region_4_North_and_Central_America/MEX_Mexico/NLE_Nuevo_Leon/MEX_NLE_Monterrey-Escobedo.Intl.AP.763943_TMYx.2009-2023.zip")</f>
        <v>https://climate.onebuilding.org/WMO_Region_4_North_and_Central_America/MEX_Mexico/NLE_Nuevo_Leon/MEX_NLE_Monterrey-Escobedo.Intl.AP.763943_TMYx.2009-2023.zip</v>
      </c>
    </row>
    <row r="774" spans="1:10" x14ac:dyDescent="0.25">
      <c r="A774" t="s">
        <v>399</v>
      </c>
      <c r="B774" t="s">
        <v>476</v>
      </c>
      <c r="C774" t="s">
        <v>481</v>
      </c>
      <c r="D774">
        <v>763943</v>
      </c>
      <c r="E774" t="s">
        <v>10</v>
      </c>
      <c r="F774">
        <v>25.777999999999999</v>
      </c>
      <c r="G774">
        <v>-100.107</v>
      </c>
      <c r="H774">
        <v>-6</v>
      </c>
      <c r="I774">
        <v>389.5</v>
      </c>
      <c r="J774" t="str">
        <f>HYPERLINK("https://climate.onebuilding.org/WMO_Region_4_North_and_Central_America/MEX_Mexico/NLE_Nuevo_Leon/MEX_NLE_Monterrey-Escobedo.Intl.AP.763943_TMYx.zip")</f>
        <v>https://climate.onebuilding.org/WMO_Region_4_North_and_Central_America/MEX_Mexico/NLE_Nuevo_Leon/MEX_NLE_Monterrey-Escobedo.Intl.AP.763943_TMYx.zip</v>
      </c>
    </row>
    <row r="775" spans="1:10" x14ac:dyDescent="0.25">
      <c r="A775" t="s">
        <v>399</v>
      </c>
      <c r="B775" t="s">
        <v>450</v>
      </c>
      <c r="C775" t="s">
        <v>483</v>
      </c>
      <c r="D775">
        <v>763990</v>
      </c>
      <c r="E775" t="s">
        <v>18</v>
      </c>
      <c r="F775">
        <v>25.867000000000001</v>
      </c>
      <c r="G775">
        <v>-97.516999999999996</v>
      </c>
      <c r="H775">
        <v>-6</v>
      </c>
      <c r="I775">
        <v>12</v>
      </c>
      <c r="J775" t="str">
        <f>HYPERLINK("https://climate.onebuilding.org/WMO_Region_4_North_and_Central_America/MEX_Mexico/TAM_Tamaulipas/MEX_TAM_Matamoros.City.763990_TMYx.2007-2021.zip")</f>
        <v>https://climate.onebuilding.org/WMO_Region_4_North_and_Central_America/MEX_Mexico/TAM_Tamaulipas/MEX_TAM_Matamoros.City.763990_TMYx.2007-2021.zip</v>
      </c>
    </row>
    <row r="776" spans="1:10" x14ac:dyDescent="0.25">
      <c r="A776" t="s">
        <v>399</v>
      </c>
      <c r="B776" t="s">
        <v>450</v>
      </c>
      <c r="C776" t="s">
        <v>483</v>
      </c>
      <c r="D776">
        <v>763990</v>
      </c>
      <c r="E776" t="s">
        <v>18</v>
      </c>
      <c r="F776">
        <v>25.867000000000001</v>
      </c>
      <c r="G776">
        <v>-97.516999999999996</v>
      </c>
      <c r="H776">
        <v>-6</v>
      </c>
      <c r="I776">
        <v>12</v>
      </c>
      <c r="J776" t="str">
        <f>HYPERLINK("https://climate.onebuilding.org/WMO_Region_4_North_and_Central_America/MEX_Mexico/TAM_Tamaulipas/MEX_TAM_Matamoros.City.763990_TMYx.2009-2023.zip")</f>
        <v>https://climate.onebuilding.org/WMO_Region_4_North_and_Central_America/MEX_Mexico/TAM_Tamaulipas/MEX_TAM_Matamoros.City.763990_TMYx.2009-2023.zip</v>
      </c>
    </row>
    <row r="777" spans="1:10" x14ac:dyDescent="0.25">
      <c r="A777" t="s">
        <v>399</v>
      </c>
      <c r="B777" t="s">
        <v>450</v>
      </c>
      <c r="C777" t="s">
        <v>483</v>
      </c>
      <c r="D777">
        <v>763990</v>
      </c>
      <c r="E777" t="s">
        <v>18</v>
      </c>
      <c r="F777">
        <v>25.867000000000001</v>
      </c>
      <c r="G777">
        <v>-97.516999999999996</v>
      </c>
      <c r="H777">
        <v>-6</v>
      </c>
      <c r="I777">
        <v>12</v>
      </c>
      <c r="J777" t="str">
        <f>HYPERLINK("https://climate.onebuilding.org/WMO_Region_4_North_and_Central_America/MEX_Mexico/TAM_Tamaulipas/MEX_TAM_Matamoros.City.763990_TMYx.zip")</f>
        <v>https://climate.onebuilding.org/WMO_Region_4_North_and_Central_America/MEX_Mexico/TAM_Tamaulipas/MEX_TAM_Matamoros.City.763990_TMYx.zip</v>
      </c>
    </row>
    <row r="778" spans="1:10" x14ac:dyDescent="0.25">
      <c r="A778" t="s">
        <v>399</v>
      </c>
      <c r="B778" t="s">
        <v>450</v>
      </c>
      <c r="C778" t="s">
        <v>484</v>
      </c>
      <c r="D778">
        <v>763993</v>
      </c>
      <c r="E778" t="s">
        <v>485</v>
      </c>
      <c r="F778">
        <v>25.77</v>
      </c>
      <c r="G778">
        <v>-97.525000000000006</v>
      </c>
      <c r="H778">
        <v>-6</v>
      </c>
      <c r="I778">
        <v>7.6</v>
      </c>
      <c r="J778" t="str">
        <f>HYPERLINK("https://climate.onebuilding.org/WMO_Region_4_North_and_Central_America/MEX_Mexico/TAM_Tamaulipas/MEX_TAM_Matamoros-Canales.Intl.AP.763993_TMYx.2004-2018.zip")</f>
        <v>https://climate.onebuilding.org/WMO_Region_4_North_and_Central_America/MEX_Mexico/TAM_Tamaulipas/MEX_TAM_Matamoros-Canales.Intl.AP.763993_TMYx.2004-2018.zip</v>
      </c>
    </row>
    <row r="779" spans="1:10" x14ac:dyDescent="0.25">
      <c r="A779" t="s">
        <v>399</v>
      </c>
      <c r="B779" t="s">
        <v>450</v>
      </c>
      <c r="C779" t="s">
        <v>484</v>
      </c>
      <c r="D779">
        <v>763993</v>
      </c>
      <c r="E779" t="s">
        <v>10</v>
      </c>
      <c r="F779">
        <v>25.77</v>
      </c>
      <c r="G779">
        <v>-97.525000000000006</v>
      </c>
      <c r="H779">
        <v>-6</v>
      </c>
      <c r="I779">
        <v>7.6</v>
      </c>
      <c r="J779" t="str">
        <f>HYPERLINK("https://climate.onebuilding.org/WMO_Region_4_North_and_Central_America/MEX_Mexico/TAM_Tamaulipas/MEX_TAM_Matamoros-Canales.Intl.AP.763993_TMYx.2007-2021.zip")</f>
        <v>https://climate.onebuilding.org/WMO_Region_4_North_and_Central_America/MEX_Mexico/TAM_Tamaulipas/MEX_TAM_Matamoros-Canales.Intl.AP.763993_TMYx.2007-2021.zip</v>
      </c>
    </row>
    <row r="780" spans="1:10" x14ac:dyDescent="0.25">
      <c r="A780" t="s">
        <v>399</v>
      </c>
      <c r="B780" t="s">
        <v>450</v>
      </c>
      <c r="C780" t="s">
        <v>484</v>
      </c>
      <c r="D780">
        <v>763993</v>
      </c>
      <c r="E780" t="s">
        <v>10</v>
      </c>
      <c r="F780">
        <v>25.77</v>
      </c>
      <c r="G780">
        <v>-97.525000000000006</v>
      </c>
      <c r="H780">
        <v>-6</v>
      </c>
      <c r="I780">
        <v>7.6</v>
      </c>
      <c r="J780" t="str">
        <f>HYPERLINK("https://climate.onebuilding.org/WMO_Region_4_North_and_Central_America/MEX_Mexico/TAM_Tamaulipas/MEX_TAM_Matamoros-Canales.Intl.AP.763993_TMYx.2009-2023.zip")</f>
        <v>https://climate.onebuilding.org/WMO_Region_4_North_and_Central_America/MEX_Mexico/TAM_Tamaulipas/MEX_TAM_Matamoros-Canales.Intl.AP.763993_TMYx.2009-2023.zip</v>
      </c>
    </row>
    <row r="781" spans="1:10" x14ac:dyDescent="0.25">
      <c r="A781" t="s">
        <v>399</v>
      </c>
      <c r="B781" t="s">
        <v>450</v>
      </c>
      <c r="C781" t="s">
        <v>484</v>
      </c>
      <c r="D781">
        <v>763993</v>
      </c>
      <c r="E781" t="s">
        <v>10</v>
      </c>
      <c r="F781">
        <v>25.77</v>
      </c>
      <c r="G781">
        <v>-97.525000000000006</v>
      </c>
      <c r="H781">
        <v>-6</v>
      </c>
      <c r="I781">
        <v>7.6</v>
      </c>
      <c r="J781" t="str">
        <f>HYPERLINK("https://climate.onebuilding.org/WMO_Region_4_North_and_Central_America/MEX_Mexico/TAM_Tamaulipas/MEX_TAM_Matamoros-Canales.Intl.AP.763993_TMYx.zip")</f>
        <v>https://climate.onebuilding.org/WMO_Region_4_North_and_Central_America/MEX_Mexico/TAM_Tamaulipas/MEX_TAM_Matamoros-Canales.Intl.AP.763993_TMYx.zip</v>
      </c>
    </row>
    <row r="782" spans="1:10" x14ac:dyDescent="0.25">
      <c r="A782" t="s">
        <v>399</v>
      </c>
      <c r="B782" t="s">
        <v>429</v>
      </c>
      <c r="C782" t="s">
        <v>486</v>
      </c>
      <c r="D782">
        <v>764010</v>
      </c>
      <c r="E782" t="s">
        <v>10</v>
      </c>
      <c r="F782">
        <v>24.466699999999999</v>
      </c>
      <c r="G782">
        <v>-111.83329999999999</v>
      </c>
      <c r="H782">
        <v>-7</v>
      </c>
      <c r="I782">
        <v>5</v>
      </c>
      <c r="J782" t="str">
        <f>HYPERLINK("https://climate.onebuilding.org/WMO_Region_4_North_and_Central_America/MEX_Mexico/BCS_Baja_California_Sur/MEX_BCS_Puerto.Cortes.764010_TMYx.zip")</f>
        <v>https://climate.onebuilding.org/WMO_Region_4_North_and_Central_America/MEX_Mexico/BCS_Baja_California_Sur/MEX_BCS_Puerto.Cortes.764010_TMYx.zip</v>
      </c>
    </row>
    <row r="783" spans="1:10" x14ac:dyDescent="0.25">
      <c r="A783" t="s">
        <v>399</v>
      </c>
      <c r="B783" t="s">
        <v>429</v>
      </c>
      <c r="C783" t="s">
        <v>487</v>
      </c>
      <c r="D783">
        <v>764020</v>
      </c>
      <c r="E783" t="s">
        <v>488</v>
      </c>
      <c r="F783">
        <v>24.95</v>
      </c>
      <c r="G783">
        <v>-111.7</v>
      </c>
      <c r="H783">
        <v>-7</v>
      </c>
      <c r="I783">
        <v>48</v>
      </c>
      <c r="J783" t="str">
        <f>HYPERLINK("https://climate.onebuilding.org/WMO_Region_4_North_and_Central_America/MEX_Mexico/BCS_Baja_California_Sur/MEX_BCS_Ciudad.Constitucion.764020_TMYx.2004-2018.zip")</f>
        <v>https://climate.onebuilding.org/WMO_Region_4_North_and_Central_America/MEX_Mexico/BCS_Baja_California_Sur/MEX_BCS_Ciudad.Constitucion.764020_TMYx.2004-2018.zip</v>
      </c>
    </row>
    <row r="784" spans="1:10" x14ac:dyDescent="0.25">
      <c r="A784" t="s">
        <v>399</v>
      </c>
      <c r="B784" t="s">
        <v>429</v>
      </c>
      <c r="C784" t="s">
        <v>487</v>
      </c>
      <c r="D784">
        <v>764020</v>
      </c>
      <c r="E784" t="s">
        <v>10</v>
      </c>
      <c r="F784">
        <v>24.95</v>
      </c>
      <c r="G784">
        <v>-111.7</v>
      </c>
      <c r="H784">
        <v>-7</v>
      </c>
      <c r="I784">
        <v>48</v>
      </c>
      <c r="J784" t="str">
        <f>HYPERLINK("https://climate.onebuilding.org/WMO_Region_4_North_and_Central_America/MEX_Mexico/BCS_Baja_California_Sur/MEX_BCS_Ciudad.Constitucion.764020_TMYx.2007-2021.zip")</f>
        <v>https://climate.onebuilding.org/WMO_Region_4_North_and_Central_America/MEX_Mexico/BCS_Baja_California_Sur/MEX_BCS_Ciudad.Constitucion.764020_TMYx.2007-2021.zip</v>
      </c>
    </row>
    <row r="785" spans="1:10" x14ac:dyDescent="0.25">
      <c r="A785" t="s">
        <v>399</v>
      </c>
      <c r="B785" t="s">
        <v>429</v>
      </c>
      <c r="C785" t="s">
        <v>487</v>
      </c>
      <c r="D785">
        <v>764020</v>
      </c>
      <c r="E785" t="s">
        <v>10</v>
      </c>
      <c r="F785">
        <v>24.95</v>
      </c>
      <c r="G785">
        <v>-111.7</v>
      </c>
      <c r="H785">
        <v>-7</v>
      </c>
      <c r="I785">
        <v>48</v>
      </c>
      <c r="J785" t="str">
        <f>HYPERLINK("https://climate.onebuilding.org/WMO_Region_4_North_and_Central_America/MEX_Mexico/BCS_Baja_California_Sur/MEX_BCS_Ciudad.Constitucion.764020_TMYx.2009-2023.zip")</f>
        <v>https://climate.onebuilding.org/WMO_Region_4_North_and_Central_America/MEX_Mexico/BCS_Baja_California_Sur/MEX_BCS_Ciudad.Constitucion.764020_TMYx.2009-2023.zip</v>
      </c>
    </row>
    <row r="786" spans="1:10" x14ac:dyDescent="0.25">
      <c r="A786" t="s">
        <v>399</v>
      </c>
      <c r="B786" t="s">
        <v>429</v>
      </c>
      <c r="C786" t="s">
        <v>487</v>
      </c>
      <c r="D786">
        <v>764020</v>
      </c>
      <c r="E786" t="s">
        <v>10</v>
      </c>
      <c r="F786">
        <v>24.95</v>
      </c>
      <c r="G786">
        <v>-111.7</v>
      </c>
      <c r="H786">
        <v>-7</v>
      </c>
      <c r="I786">
        <v>48</v>
      </c>
      <c r="J786" t="str">
        <f>HYPERLINK("https://climate.onebuilding.org/WMO_Region_4_North_and_Central_America/MEX_Mexico/BCS_Baja_California_Sur/MEX_BCS_Ciudad.Constitucion.764020_TMYx.zip")</f>
        <v>https://climate.onebuilding.org/WMO_Region_4_North_and_Central_America/MEX_Mexico/BCS_Baja_California_Sur/MEX_BCS_Ciudad.Constitucion.764020_TMYx.zip</v>
      </c>
    </row>
    <row r="787" spans="1:10" x14ac:dyDescent="0.25">
      <c r="A787" t="s">
        <v>399</v>
      </c>
      <c r="B787" t="s">
        <v>429</v>
      </c>
      <c r="C787" t="s">
        <v>489</v>
      </c>
      <c r="D787">
        <v>764050</v>
      </c>
      <c r="E787" t="s">
        <v>490</v>
      </c>
      <c r="F787">
        <v>24.167000000000002</v>
      </c>
      <c r="G787">
        <v>-110.3</v>
      </c>
      <c r="H787">
        <v>-7</v>
      </c>
      <c r="I787">
        <v>18</v>
      </c>
      <c r="J787" t="str">
        <f>HYPERLINK("https://climate.onebuilding.org/WMO_Region_4_North_and_Central_America/MEX_Mexico/BCS_Baja_California_Sur/MEX_BCS_La.Paz.764050_TMYx.2004-2018.zip")</f>
        <v>https://climate.onebuilding.org/WMO_Region_4_North_and_Central_America/MEX_Mexico/BCS_Baja_California_Sur/MEX_BCS_La.Paz.764050_TMYx.2004-2018.zip</v>
      </c>
    </row>
    <row r="788" spans="1:10" x14ac:dyDescent="0.25">
      <c r="A788" t="s">
        <v>399</v>
      </c>
      <c r="B788" t="s">
        <v>429</v>
      </c>
      <c r="C788" t="s">
        <v>489</v>
      </c>
      <c r="D788">
        <v>764050</v>
      </c>
      <c r="E788" t="s">
        <v>10</v>
      </c>
      <c r="F788">
        <v>24.167000000000002</v>
      </c>
      <c r="G788">
        <v>-110.3</v>
      </c>
      <c r="H788">
        <v>-7</v>
      </c>
      <c r="I788">
        <v>18</v>
      </c>
      <c r="J788" t="str">
        <f>HYPERLINK("https://climate.onebuilding.org/WMO_Region_4_North_and_Central_America/MEX_Mexico/BCS_Baja_California_Sur/MEX_BCS_La.Paz.764050_TMYx.2007-2021.zip")</f>
        <v>https://climate.onebuilding.org/WMO_Region_4_North_and_Central_America/MEX_Mexico/BCS_Baja_California_Sur/MEX_BCS_La.Paz.764050_TMYx.2007-2021.zip</v>
      </c>
    </row>
    <row r="789" spans="1:10" x14ac:dyDescent="0.25">
      <c r="A789" t="s">
        <v>399</v>
      </c>
      <c r="B789" t="s">
        <v>429</v>
      </c>
      <c r="C789" t="s">
        <v>489</v>
      </c>
      <c r="D789">
        <v>764050</v>
      </c>
      <c r="E789" t="s">
        <v>10</v>
      </c>
      <c r="F789">
        <v>24.167000000000002</v>
      </c>
      <c r="G789">
        <v>-110.3</v>
      </c>
      <c r="H789">
        <v>-7</v>
      </c>
      <c r="I789">
        <v>18</v>
      </c>
      <c r="J789" t="str">
        <f>HYPERLINK("https://climate.onebuilding.org/WMO_Region_4_North_and_Central_America/MEX_Mexico/BCS_Baja_California_Sur/MEX_BCS_La.Paz.764050_TMYx.2009-2023.zip")</f>
        <v>https://climate.onebuilding.org/WMO_Region_4_North_and_Central_America/MEX_Mexico/BCS_Baja_California_Sur/MEX_BCS_La.Paz.764050_TMYx.2009-2023.zip</v>
      </c>
    </row>
    <row r="790" spans="1:10" x14ac:dyDescent="0.25">
      <c r="A790" t="s">
        <v>399</v>
      </c>
      <c r="B790" t="s">
        <v>429</v>
      </c>
      <c r="C790" t="s">
        <v>489</v>
      </c>
      <c r="D790">
        <v>764050</v>
      </c>
      <c r="E790" t="s">
        <v>10</v>
      </c>
      <c r="F790">
        <v>24.167000000000002</v>
      </c>
      <c r="G790">
        <v>-110.3</v>
      </c>
      <c r="H790">
        <v>-7</v>
      </c>
      <c r="I790">
        <v>18</v>
      </c>
      <c r="J790" t="str">
        <f>HYPERLINK("https://climate.onebuilding.org/WMO_Region_4_North_and_Central_America/MEX_Mexico/BCS_Baja_California_Sur/MEX_BCS_La.Paz.764050_TMYx.zip")</f>
        <v>https://climate.onebuilding.org/WMO_Region_4_North_and_Central_America/MEX_Mexico/BCS_Baja_California_Sur/MEX_BCS_La.Paz.764050_TMYx.zip</v>
      </c>
    </row>
    <row r="791" spans="1:10" x14ac:dyDescent="0.25">
      <c r="A791" t="s">
        <v>399</v>
      </c>
      <c r="B791" t="s">
        <v>429</v>
      </c>
      <c r="C791" t="s">
        <v>491</v>
      </c>
      <c r="D791">
        <v>764055</v>
      </c>
      <c r="E791" t="s">
        <v>492</v>
      </c>
      <c r="F791">
        <v>24.073</v>
      </c>
      <c r="G791">
        <v>-110.36199999999999</v>
      </c>
      <c r="H791">
        <v>-7</v>
      </c>
      <c r="I791">
        <v>21</v>
      </c>
      <c r="J791" t="str">
        <f>HYPERLINK("https://climate.onebuilding.org/WMO_Region_4_North_and_Central_America/MEX_Mexico/BCS_Baja_California_Sur/MEX_BCS_La.Paz-de.Leon.Intl.AP.764055_TMYx.2004-2018.zip")</f>
        <v>https://climate.onebuilding.org/WMO_Region_4_North_and_Central_America/MEX_Mexico/BCS_Baja_California_Sur/MEX_BCS_La.Paz-de.Leon.Intl.AP.764055_TMYx.2004-2018.zip</v>
      </c>
    </row>
    <row r="792" spans="1:10" x14ac:dyDescent="0.25">
      <c r="A792" t="s">
        <v>399</v>
      </c>
      <c r="B792" t="s">
        <v>429</v>
      </c>
      <c r="C792" t="s">
        <v>491</v>
      </c>
      <c r="D792">
        <v>764055</v>
      </c>
      <c r="E792" t="s">
        <v>10</v>
      </c>
      <c r="F792">
        <v>24.073</v>
      </c>
      <c r="G792">
        <v>-110.36199999999999</v>
      </c>
      <c r="H792">
        <v>-7</v>
      </c>
      <c r="I792">
        <v>21</v>
      </c>
      <c r="J792" t="str">
        <f>HYPERLINK("https://climate.onebuilding.org/WMO_Region_4_North_and_Central_America/MEX_Mexico/BCS_Baja_California_Sur/MEX_BCS_La.Paz-de.Leon.Intl.AP.764055_TMYx.2007-2021.zip")</f>
        <v>https://climate.onebuilding.org/WMO_Region_4_North_and_Central_America/MEX_Mexico/BCS_Baja_California_Sur/MEX_BCS_La.Paz-de.Leon.Intl.AP.764055_TMYx.2007-2021.zip</v>
      </c>
    </row>
    <row r="793" spans="1:10" x14ac:dyDescent="0.25">
      <c r="A793" t="s">
        <v>399</v>
      </c>
      <c r="B793" t="s">
        <v>429</v>
      </c>
      <c r="C793" t="s">
        <v>491</v>
      </c>
      <c r="D793">
        <v>764055</v>
      </c>
      <c r="E793" t="s">
        <v>10</v>
      </c>
      <c r="F793">
        <v>24.073</v>
      </c>
      <c r="G793">
        <v>-110.36199999999999</v>
      </c>
      <c r="H793">
        <v>-7</v>
      </c>
      <c r="I793">
        <v>21</v>
      </c>
      <c r="J793" t="str">
        <f>HYPERLINK("https://climate.onebuilding.org/WMO_Region_4_North_and_Central_America/MEX_Mexico/BCS_Baja_California_Sur/MEX_BCS_La.Paz-de.Leon.Intl.AP.764055_TMYx.2009-2023.zip")</f>
        <v>https://climate.onebuilding.org/WMO_Region_4_North_and_Central_America/MEX_Mexico/BCS_Baja_California_Sur/MEX_BCS_La.Paz-de.Leon.Intl.AP.764055_TMYx.2009-2023.zip</v>
      </c>
    </row>
    <row r="794" spans="1:10" x14ac:dyDescent="0.25">
      <c r="A794" t="s">
        <v>399</v>
      </c>
      <c r="B794" t="s">
        <v>429</v>
      </c>
      <c r="C794" t="s">
        <v>491</v>
      </c>
      <c r="D794">
        <v>764055</v>
      </c>
      <c r="E794" t="s">
        <v>10</v>
      </c>
      <c r="F794">
        <v>24.073</v>
      </c>
      <c r="G794">
        <v>-110.36199999999999</v>
      </c>
      <c r="H794">
        <v>-7</v>
      </c>
      <c r="I794">
        <v>21</v>
      </c>
      <c r="J794" t="str">
        <f>HYPERLINK("https://climate.onebuilding.org/WMO_Region_4_North_and_Central_America/MEX_Mexico/BCS_Baja_California_Sur/MEX_BCS_La.Paz-de.Leon.Intl.AP.764055_TMYx.zip")</f>
        <v>https://climate.onebuilding.org/WMO_Region_4_North_and_Central_America/MEX_Mexico/BCS_Baja_California_Sur/MEX_BCS_La.Paz-de.Leon.Intl.AP.764055_TMYx.zip</v>
      </c>
    </row>
    <row r="795" spans="1:10" x14ac:dyDescent="0.25">
      <c r="A795" t="s">
        <v>399</v>
      </c>
      <c r="B795" t="s">
        <v>429</v>
      </c>
      <c r="C795" t="s">
        <v>493</v>
      </c>
      <c r="D795">
        <v>764056</v>
      </c>
      <c r="E795" t="s">
        <v>494</v>
      </c>
      <c r="F795">
        <v>23.152000000000001</v>
      </c>
      <c r="G795">
        <v>-109.721</v>
      </c>
      <c r="H795">
        <v>-7</v>
      </c>
      <c r="I795">
        <v>114</v>
      </c>
      <c r="J795" t="str">
        <f>HYPERLINK("https://climate.onebuilding.org/WMO_Region_4_North_and_Central_America/MEX_Mexico/BCS_Baja_California_Sur/MEX_BCS_Los.Cabos.Intl.AP.764056_TMYx.2004-2018.zip")</f>
        <v>https://climate.onebuilding.org/WMO_Region_4_North_and_Central_America/MEX_Mexico/BCS_Baja_California_Sur/MEX_BCS_Los.Cabos.Intl.AP.764056_TMYx.2004-2018.zip</v>
      </c>
    </row>
    <row r="796" spans="1:10" x14ac:dyDescent="0.25">
      <c r="A796" t="s">
        <v>399</v>
      </c>
      <c r="B796" t="s">
        <v>429</v>
      </c>
      <c r="C796" t="s">
        <v>493</v>
      </c>
      <c r="D796">
        <v>764056</v>
      </c>
      <c r="E796" t="s">
        <v>10</v>
      </c>
      <c r="F796">
        <v>23.152000000000001</v>
      </c>
      <c r="G796">
        <v>-109.721</v>
      </c>
      <c r="H796">
        <v>-7</v>
      </c>
      <c r="I796">
        <v>114</v>
      </c>
      <c r="J796" t="str">
        <f>HYPERLINK("https://climate.onebuilding.org/WMO_Region_4_North_and_Central_America/MEX_Mexico/BCS_Baja_California_Sur/MEX_BCS_Los.Cabos.Intl.AP.764056_TMYx.2007-2021.zip")</f>
        <v>https://climate.onebuilding.org/WMO_Region_4_North_and_Central_America/MEX_Mexico/BCS_Baja_California_Sur/MEX_BCS_Los.Cabos.Intl.AP.764056_TMYx.2007-2021.zip</v>
      </c>
    </row>
    <row r="797" spans="1:10" x14ac:dyDescent="0.25">
      <c r="A797" t="s">
        <v>399</v>
      </c>
      <c r="B797" t="s">
        <v>429</v>
      </c>
      <c r="C797" t="s">
        <v>493</v>
      </c>
      <c r="D797">
        <v>764056</v>
      </c>
      <c r="E797" t="s">
        <v>10</v>
      </c>
      <c r="F797">
        <v>23.152000000000001</v>
      </c>
      <c r="G797">
        <v>-109.721</v>
      </c>
      <c r="H797">
        <v>-7</v>
      </c>
      <c r="I797">
        <v>114</v>
      </c>
      <c r="J797" t="str">
        <f>HYPERLINK("https://climate.onebuilding.org/WMO_Region_4_North_and_Central_America/MEX_Mexico/BCS_Baja_California_Sur/MEX_BCS_Los.Cabos.Intl.AP.764056_TMYx.2009-2023.zip")</f>
        <v>https://climate.onebuilding.org/WMO_Region_4_North_and_Central_America/MEX_Mexico/BCS_Baja_California_Sur/MEX_BCS_Los.Cabos.Intl.AP.764056_TMYx.2009-2023.zip</v>
      </c>
    </row>
    <row r="798" spans="1:10" x14ac:dyDescent="0.25">
      <c r="A798" t="s">
        <v>399</v>
      </c>
      <c r="B798" t="s">
        <v>429</v>
      </c>
      <c r="C798" t="s">
        <v>493</v>
      </c>
      <c r="D798">
        <v>764056</v>
      </c>
      <c r="E798" t="s">
        <v>10</v>
      </c>
      <c r="F798">
        <v>23.152000000000001</v>
      </c>
      <c r="G798">
        <v>-109.721</v>
      </c>
      <c r="H798">
        <v>-7</v>
      </c>
      <c r="I798">
        <v>114</v>
      </c>
      <c r="J798" t="str">
        <f>HYPERLINK("https://climate.onebuilding.org/WMO_Region_4_North_and_Central_America/MEX_Mexico/BCS_Baja_California_Sur/MEX_BCS_Los.Cabos.Intl.AP.764056_TMYx.zip")</f>
        <v>https://climate.onebuilding.org/WMO_Region_4_North_and_Central_America/MEX_Mexico/BCS_Baja_California_Sur/MEX_BCS_Los.Cabos.Intl.AP.764056_TMYx.zip</v>
      </c>
    </row>
    <row r="799" spans="1:10" x14ac:dyDescent="0.25">
      <c r="A799" t="s">
        <v>399</v>
      </c>
      <c r="B799" t="s">
        <v>455</v>
      </c>
      <c r="C799" t="s">
        <v>495</v>
      </c>
      <c r="D799">
        <v>764120</v>
      </c>
      <c r="E799" t="s">
        <v>496</v>
      </c>
      <c r="F799">
        <v>24.765000000000001</v>
      </c>
      <c r="G799">
        <v>-107.47499999999999</v>
      </c>
      <c r="H799">
        <v>-7</v>
      </c>
      <c r="I799">
        <v>32.9</v>
      </c>
      <c r="J799" t="str">
        <f>HYPERLINK("https://climate.onebuilding.org/WMO_Region_4_North_and_Central_America/MEX_Mexico/SIN_Sinaloa/MEX_SIN_Culiacan.764120_TMYx.2004-2018.zip")</f>
        <v>https://climate.onebuilding.org/WMO_Region_4_North_and_Central_America/MEX_Mexico/SIN_Sinaloa/MEX_SIN_Culiacan.764120_TMYx.2004-2018.zip</v>
      </c>
    </row>
    <row r="800" spans="1:10" x14ac:dyDescent="0.25">
      <c r="A800" t="s">
        <v>399</v>
      </c>
      <c r="B800" t="s">
        <v>455</v>
      </c>
      <c r="C800" t="s">
        <v>495</v>
      </c>
      <c r="D800">
        <v>764120</v>
      </c>
      <c r="E800" t="s">
        <v>10</v>
      </c>
      <c r="F800">
        <v>24.635000000000002</v>
      </c>
      <c r="G800">
        <v>-107.44110000000001</v>
      </c>
      <c r="H800">
        <v>-7</v>
      </c>
      <c r="I800">
        <v>39</v>
      </c>
      <c r="J800" t="str">
        <f>HYPERLINK("https://climate.onebuilding.org/WMO_Region_4_North_and_Central_America/MEX_Mexico/SIN_Sinaloa/MEX_SIN_Culiacan.764120_TMYx.2007-2021.zip")</f>
        <v>https://climate.onebuilding.org/WMO_Region_4_North_and_Central_America/MEX_Mexico/SIN_Sinaloa/MEX_SIN_Culiacan.764120_TMYx.2007-2021.zip</v>
      </c>
    </row>
    <row r="801" spans="1:10" x14ac:dyDescent="0.25">
      <c r="A801" t="s">
        <v>399</v>
      </c>
      <c r="B801" t="s">
        <v>455</v>
      </c>
      <c r="C801" t="s">
        <v>495</v>
      </c>
      <c r="D801">
        <v>764120</v>
      </c>
      <c r="E801" t="s">
        <v>10</v>
      </c>
      <c r="F801">
        <v>24.635000000000002</v>
      </c>
      <c r="G801">
        <v>-107.44110000000001</v>
      </c>
      <c r="H801">
        <v>-7</v>
      </c>
      <c r="I801">
        <v>39</v>
      </c>
      <c r="J801" t="str">
        <f>HYPERLINK("https://climate.onebuilding.org/WMO_Region_4_North_and_Central_America/MEX_Mexico/SIN_Sinaloa/MEX_SIN_Culiacan.764120_TMYx.2009-2023.zip")</f>
        <v>https://climate.onebuilding.org/WMO_Region_4_North_and_Central_America/MEX_Mexico/SIN_Sinaloa/MEX_SIN_Culiacan.764120_TMYx.2009-2023.zip</v>
      </c>
    </row>
    <row r="802" spans="1:10" x14ac:dyDescent="0.25">
      <c r="A802" t="s">
        <v>399</v>
      </c>
      <c r="B802" t="s">
        <v>455</v>
      </c>
      <c r="C802" t="s">
        <v>495</v>
      </c>
      <c r="D802">
        <v>764120</v>
      </c>
      <c r="E802" t="s">
        <v>10</v>
      </c>
      <c r="F802">
        <v>24.635000000000002</v>
      </c>
      <c r="G802">
        <v>-107.44110000000001</v>
      </c>
      <c r="H802">
        <v>-7</v>
      </c>
      <c r="I802">
        <v>39</v>
      </c>
      <c r="J802" t="str">
        <f>HYPERLINK("https://climate.onebuilding.org/WMO_Region_4_North_and_Central_America/MEX_Mexico/SIN_Sinaloa/MEX_SIN_Culiacan.764120_TMYx.zip")</f>
        <v>https://climate.onebuilding.org/WMO_Region_4_North_and_Central_America/MEX_Mexico/SIN_Sinaloa/MEX_SIN_Culiacan.764120_TMYx.zip</v>
      </c>
    </row>
    <row r="803" spans="1:10" x14ac:dyDescent="0.25">
      <c r="A803" t="s">
        <v>399</v>
      </c>
      <c r="B803" t="s">
        <v>455</v>
      </c>
      <c r="C803" t="s">
        <v>497</v>
      </c>
      <c r="D803">
        <v>764125</v>
      </c>
      <c r="E803" t="s">
        <v>10</v>
      </c>
      <c r="F803">
        <v>24.817</v>
      </c>
      <c r="G803">
        <v>-107.4</v>
      </c>
      <c r="H803">
        <v>-7</v>
      </c>
      <c r="I803">
        <v>53</v>
      </c>
      <c r="J803" t="str">
        <f>HYPERLINK("https://climate.onebuilding.org/WMO_Region_4_North_and_Central_America/MEX_Mexico/SIN_Sinaloa/MEX_SIN_Cuidad.Culiacan.764125_TMYx.zip")</f>
        <v>https://climate.onebuilding.org/WMO_Region_4_North_and_Central_America/MEX_Mexico/SIN_Sinaloa/MEX_SIN_Cuidad.Culiacan.764125_TMYx.zip</v>
      </c>
    </row>
    <row r="804" spans="1:10" x14ac:dyDescent="0.25">
      <c r="A804" t="s">
        <v>399</v>
      </c>
      <c r="B804" t="s">
        <v>468</v>
      </c>
      <c r="C804" t="s">
        <v>498</v>
      </c>
      <c r="D804">
        <v>764230</v>
      </c>
      <c r="E804" t="s">
        <v>499</v>
      </c>
      <c r="F804">
        <v>24.05</v>
      </c>
      <c r="G804">
        <v>-104.6</v>
      </c>
      <c r="H804">
        <v>-6</v>
      </c>
      <c r="I804">
        <v>1872</v>
      </c>
      <c r="J804" t="str">
        <f>HYPERLINK("https://climate.onebuilding.org/WMO_Region_4_North_and_Central_America/MEX_Mexico/DUR_Durango/MEX_DUR_Durango.764230_TMYx.2004-2018.zip")</f>
        <v>https://climate.onebuilding.org/WMO_Region_4_North_and_Central_America/MEX_Mexico/DUR_Durango/MEX_DUR_Durango.764230_TMYx.2004-2018.zip</v>
      </c>
    </row>
    <row r="805" spans="1:10" x14ac:dyDescent="0.25">
      <c r="A805" t="s">
        <v>399</v>
      </c>
      <c r="B805" t="s">
        <v>468</v>
      </c>
      <c r="C805" t="s">
        <v>498</v>
      </c>
      <c r="D805">
        <v>764230</v>
      </c>
      <c r="E805" t="s">
        <v>10</v>
      </c>
      <c r="F805">
        <v>24.061399999999999</v>
      </c>
      <c r="G805">
        <v>-104.6006</v>
      </c>
      <c r="H805">
        <v>-6</v>
      </c>
      <c r="I805">
        <v>1872</v>
      </c>
      <c r="J805" t="str">
        <f>HYPERLINK("https://climate.onebuilding.org/WMO_Region_4_North_and_Central_America/MEX_Mexico/DUR_Durango/MEX_DUR_Durango.764230_TMYx.2007-2021.zip")</f>
        <v>https://climate.onebuilding.org/WMO_Region_4_North_and_Central_America/MEX_Mexico/DUR_Durango/MEX_DUR_Durango.764230_TMYx.2007-2021.zip</v>
      </c>
    </row>
    <row r="806" spans="1:10" x14ac:dyDescent="0.25">
      <c r="A806" t="s">
        <v>399</v>
      </c>
      <c r="B806" t="s">
        <v>468</v>
      </c>
      <c r="C806" t="s">
        <v>498</v>
      </c>
      <c r="D806">
        <v>764230</v>
      </c>
      <c r="E806" t="s">
        <v>10</v>
      </c>
      <c r="F806">
        <v>24.061399999999999</v>
      </c>
      <c r="G806">
        <v>-104.6006</v>
      </c>
      <c r="H806">
        <v>-6</v>
      </c>
      <c r="I806">
        <v>1872</v>
      </c>
      <c r="J806" t="str">
        <f>HYPERLINK("https://climate.onebuilding.org/WMO_Region_4_North_and_Central_America/MEX_Mexico/DUR_Durango/MEX_DUR_Durango.764230_TMYx.2009-2023.zip")</f>
        <v>https://climate.onebuilding.org/WMO_Region_4_North_and_Central_America/MEX_Mexico/DUR_Durango/MEX_DUR_Durango.764230_TMYx.2009-2023.zip</v>
      </c>
    </row>
    <row r="807" spans="1:10" x14ac:dyDescent="0.25">
      <c r="A807" t="s">
        <v>399</v>
      </c>
      <c r="B807" t="s">
        <v>468</v>
      </c>
      <c r="C807" t="s">
        <v>498</v>
      </c>
      <c r="D807">
        <v>764230</v>
      </c>
      <c r="E807" t="s">
        <v>10</v>
      </c>
      <c r="F807">
        <v>24.061399999999999</v>
      </c>
      <c r="G807">
        <v>-104.6006</v>
      </c>
      <c r="H807">
        <v>-6</v>
      </c>
      <c r="I807">
        <v>1872</v>
      </c>
      <c r="J807" t="str">
        <f>HYPERLINK("https://climate.onebuilding.org/WMO_Region_4_North_and_Central_America/MEX_Mexico/DUR_Durango/MEX_DUR_Durango.764230_TMYx.zip")</f>
        <v>https://climate.onebuilding.org/WMO_Region_4_North_and_Central_America/MEX_Mexico/DUR_Durango/MEX_DUR_Durango.764230_TMYx.zip</v>
      </c>
    </row>
    <row r="808" spans="1:10" x14ac:dyDescent="0.25">
      <c r="A808" t="s">
        <v>399</v>
      </c>
      <c r="B808" t="s">
        <v>468</v>
      </c>
      <c r="C808" t="s">
        <v>500</v>
      </c>
      <c r="D808">
        <v>764235</v>
      </c>
      <c r="E808" t="s">
        <v>501</v>
      </c>
      <c r="F808">
        <v>24.123999999999999</v>
      </c>
      <c r="G808">
        <v>-104.52800000000001</v>
      </c>
      <c r="H808">
        <v>-6</v>
      </c>
      <c r="I808">
        <v>1860.5</v>
      </c>
      <c r="J808" t="str">
        <f>HYPERLINK("https://climate.onebuilding.org/WMO_Region_4_North_and_Central_America/MEX_Mexico/DUR_Durango/MEX_DUR_Durango-Guadalupe.Intl.AP.764235_TMYx.2004-2018.zip")</f>
        <v>https://climate.onebuilding.org/WMO_Region_4_North_and_Central_America/MEX_Mexico/DUR_Durango/MEX_DUR_Durango-Guadalupe.Intl.AP.764235_TMYx.2004-2018.zip</v>
      </c>
    </row>
    <row r="809" spans="1:10" x14ac:dyDescent="0.25">
      <c r="A809" t="s">
        <v>399</v>
      </c>
      <c r="B809" t="s">
        <v>468</v>
      </c>
      <c r="C809" t="s">
        <v>500</v>
      </c>
      <c r="D809">
        <v>764235</v>
      </c>
      <c r="E809" t="s">
        <v>10</v>
      </c>
      <c r="F809">
        <v>24.123999999999999</v>
      </c>
      <c r="G809">
        <v>-104.52800000000001</v>
      </c>
      <c r="H809">
        <v>-6</v>
      </c>
      <c r="I809">
        <v>1860.5</v>
      </c>
      <c r="J809" t="str">
        <f>HYPERLINK("https://climate.onebuilding.org/WMO_Region_4_North_and_Central_America/MEX_Mexico/DUR_Durango/MEX_DUR_Durango-Guadalupe.Intl.AP.764235_TMYx.2007-2021.zip")</f>
        <v>https://climate.onebuilding.org/WMO_Region_4_North_and_Central_America/MEX_Mexico/DUR_Durango/MEX_DUR_Durango-Guadalupe.Intl.AP.764235_TMYx.2007-2021.zip</v>
      </c>
    </row>
    <row r="810" spans="1:10" x14ac:dyDescent="0.25">
      <c r="A810" t="s">
        <v>399</v>
      </c>
      <c r="B810" t="s">
        <v>468</v>
      </c>
      <c r="C810" t="s">
        <v>500</v>
      </c>
      <c r="D810">
        <v>764235</v>
      </c>
      <c r="E810" t="s">
        <v>10</v>
      </c>
      <c r="F810">
        <v>24.123999999999999</v>
      </c>
      <c r="G810">
        <v>-104.52800000000001</v>
      </c>
      <c r="H810">
        <v>-6</v>
      </c>
      <c r="I810">
        <v>1860.5</v>
      </c>
      <c r="J810" t="str">
        <f>HYPERLINK("https://climate.onebuilding.org/WMO_Region_4_North_and_Central_America/MEX_Mexico/DUR_Durango/MEX_DUR_Durango-Guadalupe.Intl.AP.764235_TMYx.2009-2023.zip")</f>
        <v>https://climate.onebuilding.org/WMO_Region_4_North_and_Central_America/MEX_Mexico/DUR_Durango/MEX_DUR_Durango-Guadalupe.Intl.AP.764235_TMYx.2009-2023.zip</v>
      </c>
    </row>
    <row r="811" spans="1:10" x14ac:dyDescent="0.25">
      <c r="A811" t="s">
        <v>399</v>
      </c>
      <c r="B811" t="s">
        <v>468</v>
      </c>
      <c r="C811" t="s">
        <v>500</v>
      </c>
      <c r="D811">
        <v>764235</v>
      </c>
      <c r="E811" t="s">
        <v>10</v>
      </c>
      <c r="F811">
        <v>24.123999999999999</v>
      </c>
      <c r="G811">
        <v>-104.52800000000001</v>
      </c>
      <c r="H811">
        <v>-6</v>
      </c>
      <c r="I811">
        <v>1860.5</v>
      </c>
      <c r="J811" t="str">
        <f>HYPERLINK("https://climate.onebuilding.org/WMO_Region_4_North_and_Central_America/MEX_Mexico/DUR_Durango/MEX_DUR_Durango-Guadalupe.Intl.AP.764235_TMYx.zip")</f>
        <v>https://climate.onebuilding.org/WMO_Region_4_North_and_Central_America/MEX_Mexico/DUR_Durango/MEX_DUR_Durango-Guadalupe.Intl.AP.764235_TMYx.zip</v>
      </c>
    </row>
    <row r="812" spans="1:10" x14ac:dyDescent="0.25">
      <c r="A812" t="s">
        <v>399</v>
      </c>
      <c r="B812" t="s">
        <v>455</v>
      </c>
      <c r="C812" t="s">
        <v>502</v>
      </c>
      <c r="D812">
        <v>764580</v>
      </c>
      <c r="E812" t="s">
        <v>503</v>
      </c>
      <c r="F812">
        <v>23.2</v>
      </c>
      <c r="G812">
        <v>-106.417</v>
      </c>
      <c r="H812">
        <v>-7</v>
      </c>
      <c r="I812">
        <v>4</v>
      </c>
      <c r="J812" t="str">
        <f>HYPERLINK("https://climate.onebuilding.org/WMO_Region_4_North_and_Central_America/MEX_Mexico/SIN_Sinaloa/MEX_SIN_Mazatlan.764580_TMYx.2004-2018.zip")</f>
        <v>https://climate.onebuilding.org/WMO_Region_4_North_and_Central_America/MEX_Mexico/SIN_Sinaloa/MEX_SIN_Mazatlan.764580_TMYx.2004-2018.zip</v>
      </c>
    </row>
    <row r="813" spans="1:10" x14ac:dyDescent="0.25">
      <c r="A813" t="s">
        <v>399</v>
      </c>
      <c r="B813" t="s">
        <v>455</v>
      </c>
      <c r="C813" t="s">
        <v>502</v>
      </c>
      <c r="D813">
        <v>764580</v>
      </c>
      <c r="E813" t="s">
        <v>10</v>
      </c>
      <c r="F813">
        <v>23.217199999999998</v>
      </c>
      <c r="G813">
        <v>-106.4111</v>
      </c>
      <c r="H813">
        <v>-7</v>
      </c>
      <c r="I813">
        <v>3</v>
      </c>
      <c r="J813" t="str">
        <f>HYPERLINK("https://climate.onebuilding.org/WMO_Region_4_North_and_Central_America/MEX_Mexico/SIN_Sinaloa/MEX_SIN_Mazatlan.764580_TMYx.2007-2021.zip")</f>
        <v>https://climate.onebuilding.org/WMO_Region_4_North_and_Central_America/MEX_Mexico/SIN_Sinaloa/MEX_SIN_Mazatlan.764580_TMYx.2007-2021.zip</v>
      </c>
    </row>
    <row r="814" spans="1:10" x14ac:dyDescent="0.25">
      <c r="A814" t="s">
        <v>399</v>
      </c>
      <c r="B814" t="s">
        <v>455</v>
      </c>
      <c r="C814" t="s">
        <v>502</v>
      </c>
      <c r="D814">
        <v>764580</v>
      </c>
      <c r="E814" t="s">
        <v>10</v>
      </c>
      <c r="F814">
        <v>23.217199999999998</v>
      </c>
      <c r="G814">
        <v>-106.4111</v>
      </c>
      <c r="H814">
        <v>-7</v>
      </c>
      <c r="I814">
        <v>3</v>
      </c>
      <c r="J814" t="str">
        <f>HYPERLINK("https://climate.onebuilding.org/WMO_Region_4_North_and_Central_America/MEX_Mexico/SIN_Sinaloa/MEX_SIN_Mazatlan.764580_TMYx.2009-2023.zip")</f>
        <v>https://climate.onebuilding.org/WMO_Region_4_North_and_Central_America/MEX_Mexico/SIN_Sinaloa/MEX_SIN_Mazatlan.764580_TMYx.2009-2023.zip</v>
      </c>
    </row>
    <row r="815" spans="1:10" x14ac:dyDescent="0.25">
      <c r="A815" t="s">
        <v>399</v>
      </c>
      <c r="B815" t="s">
        <v>455</v>
      </c>
      <c r="C815" t="s">
        <v>502</v>
      </c>
      <c r="D815">
        <v>764580</v>
      </c>
      <c r="E815" t="s">
        <v>10</v>
      </c>
      <c r="F815">
        <v>23.217199999999998</v>
      </c>
      <c r="G815">
        <v>-106.4111</v>
      </c>
      <c r="H815">
        <v>-7</v>
      </c>
      <c r="I815">
        <v>3</v>
      </c>
      <c r="J815" t="str">
        <f>HYPERLINK("https://climate.onebuilding.org/WMO_Region_4_North_and_Central_America/MEX_Mexico/SIN_Sinaloa/MEX_SIN_Mazatlan.764580_TMYx.zip")</f>
        <v>https://climate.onebuilding.org/WMO_Region_4_North_and_Central_America/MEX_Mexico/SIN_Sinaloa/MEX_SIN_Mazatlan.764580_TMYx.zip</v>
      </c>
    </row>
    <row r="816" spans="1:10" x14ac:dyDescent="0.25">
      <c r="A816" t="s">
        <v>399</v>
      </c>
      <c r="B816" t="s">
        <v>455</v>
      </c>
      <c r="C816" t="s">
        <v>504</v>
      </c>
      <c r="D816">
        <v>764593</v>
      </c>
      <c r="E816" t="s">
        <v>505</v>
      </c>
      <c r="F816">
        <v>23.161000000000001</v>
      </c>
      <c r="G816">
        <v>-106.26600000000001</v>
      </c>
      <c r="H816">
        <v>-7</v>
      </c>
      <c r="I816">
        <v>11.6</v>
      </c>
      <c r="J816" t="str">
        <f>HYPERLINK("https://climate.onebuilding.org/WMO_Region_4_North_and_Central_America/MEX_Mexico/SIN_Sinaloa/MEX_SIN_Mazatlan-Buelna.Intl.AP.764593_TMYx.2004-2018.zip")</f>
        <v>https://climate.onebuilding.org/WMO_Region_4_North_and_Central_America/MEX_Mexico/SIN_Sinaloa/MEX_SIN_Mazatlan-Buelna.Intl.AP.764593_TMYx.2004-2018.zip</v>
      </c>
    </row>
    <row r="817" spans="1:10" x14ac:dyDescent="0.25">
      <c r="A817" t="s">
        <v>399</v>
      </c>
      <c r="B817" t="s">
        <v>455</v>
      </c>
      <c r="C817" t="s">
        <v>504</v>
      </c>
      <c r="D817">
        <v>764593</v>
      </c>
      <c r="E817" t="s">
        <v>10</v>
      </c>
      <c r="F817">
        <v>23.161000000000001</v>
      </c>
      <c r="G817">
        <v>-106.26600000000001</v>
      </c>
      <c r="H817">
        <v>-7</v>
      </c>
      <c r="I817">
        <v>11.6</v>
      </c>
      <c r="J817" t="str">
        <f>HYPERLINK("https://climate.onebuilding.org/WMO_Region_4_North_and_Central_America/MEX_Mexico/SIN_Sinaloa/MEX_SIN_Mazatlan-Buelna.Intl.AP.764593_TMYx.2007-2021.zip")</f>
        <v>https://climate.onebuilding.org/WMO_Region_4_North_and_Central_America/MEX_Mexico/SIN_Sinaloa/MEX_SIN_Mazatlan-Buelna.Intl.AP.764593_TMYx.2007-2021.zip</v>
      </c>
    </row>
    <row r="818" spans="1:10" x14ac:dyDescent="0.25">
      <c r="A818" t="s">
        <v>399</v>
      </c>
      <c r="B818" t="s">
        <v>455</v>
      </c>
      <c r="C818" t="s">
        <v>504</v>
      </c>
      <c r="D818">
        <v>764593</v>
      </c>
      <c r="E818" t="s">
        <v>10</v>
      </c>
      <c r="F818">
        <v>23.161000000000001</v>
      </c>
      <c r="G818">
        <v>-106.26600000000001</v>
      </c>
      <c r="H818">
        <v>-7</v>
      </c>
      <c r="I818">
        <v>11.6</v>
      </c>
      <c r="J818" t="str">
        <f>HYPERLINK("https://climate.onebuilding.org/WMO_Region_4_North_and_Central_America/MEX_Mexico/SIN_Sinaloa/MEX_SIN_Mazatlan-Buelna.Intl.AP.764593_TMYx.2009-2023.zip")</f>
        <v>https://climate.onebuilding.org/WMO_Region_4_North_and_Central_America/MEX_Mexico/SIN_Sinaloa/MEX_SIN_Mazatlan-Buelna.Intl.AP.764593_TMYx.2009-2023.zip</v>
      </c>
    </row>
    <row r="819" spans="1:10" x14ac:dyDescent="0.25">
      <c r="A819" t="s">
        <v>399</v>
      </c>
      <c r="B819" t="s">
        <v>455</v>
      </c>
      <c r="C819" t="s">
        <v>504</v>
      </c>
      <c r="D819">
        <v>764593</v>
      </c>
      <c r="E819" t="s">
        <v>10</v>
      </c>
      <c r="F819">
        <v>23.161000000000001</v>
      </c>
      <c r="G819">
        <v>-106.26600000000001</v>
      </c>
      <c r="H819">
        <v>-7</v>
      </c>
      <c r="I819">
        <v>11.6</v>
      </c>
      <c r="J819" t="str">
        <f>HYPERLINK("https://climate.onebuilding.org/WMO_Region_4_North_and_Central_America/MEX_Mexico/SIN_Sinaloa/MEX_SIN_Mazatlan-Buelna.Intl.AP.764593_TMYx.zip")</f>
        <v>https://climate.onebuilding.org/WMO_Region_4_North_and_Central_America/MEX_Mexico/SIN_Sinaloa/MEX_SIN_Mazatlan-Buelna.Intl.AP.764593_TMYx.zip</v>
      </c>
    </row>
    <row r="820" spans="1:10" x14ac:dyDescent="0.25">
      <c r="A820" t="s">
        <v>399</v>
      </c>
      <c r="B820" t="s">
        <v>506</v>
      </c>
      <c r="C820" t="s">
        <v>507</v>
      </c>
      <c r="D820">
        <v>764710</v>
      </c>
      <c r="E820" t="s">
        <v>508</v>
      </c>
      <c r="F820">
        <v>23.632999999999999</v>
      </c>
      <c r="G820">
        <v>-103.65</v>
      </c>
      <c r="H820">
        <v>-6</v>
      </c>
      <c r="I820">
        <v>2351</v>
      </c>
      <c r="J820" t="str">
        <f>HYPERLINK("https://climate.onebuilding.org/WMO_Region_4_North_and_Central_America/MEX_Mexico/ZAC_Zacatecas/MEX_ZAC_Sombrerete.764710_TMYx.2004-2018.zip")</f>
        <v>https://climate.onebuilding.org/WMO_Region_4_North_and_Central_America/MEX_Mexico/ZAC_Zacatecas/MEX_ZAC_Sombrerete.764710_TMYx.2004-2018.zip</v>
      </c>
    </row>
    <row r="821" spans="1:10" x14ac:dyDescent="0.25">
      <c r="A821" t="s">
        <v>399</v>
      </c>
      <c r="B821" t="s">
        <v>506</v>
      </c>
      <c r="C821" t="s">
        <v>507</v>
      </c>
      <c r="D821">
        <v>764710</v>
      </c>
      <c r="E821" t="s">
        <v>10</v>
      </c>
      <c r="F821">
        <v>23.632999999999999</v>
      </c>
      <c r="G821">
        <v>-103.65</v>
      </c>
      <c r="H821">
        <v>-6</v>
      </c>
      <c r="I821">
        <v>2351</v>
      </c>
      <c r="J821" t="str">
        <f>HYPERLINK("https://climate.onebuilding.org/WMO_Region_4_North_and_Central_America/MEX_Mexico/ZAC_Zacatecas/MEX_ZAC_Sombrerete.764710_TMYx.2007-2021.zip")</f>
        <v>https://climate.onebuilding.org/WMO_Region_4_North_and_Central_America/MEX_Mexico/ZAC_Zacatecas/MEX_ZAC_Sombrerete.764710_TMYx.2007-2021.zip</v>
      </c>
    </row>
    <row r="822" spans="1:10" x14ac:dyDescent="0.25">
      <c r="A822" t="s">
        <v>399</v>
      </c>
      <c r="B822" t="s">
        <v>506</v>
      </c>
      <c r="C822" t="s">
        <v>507</v>
      </c>
      <c r="D822">
        <v>764710</v>
      </c>
      <c r="E822" t="s">
        <v>10</v>
      </c>
      <c r="F822">
        <v>23.632999999999999</v>
      </c>
      <c r="G822">
        <v>-103.65</v>
      </c>
      <c r="H822">
        <v>-6</v>
      </c>
      <c r="I822">
        <v>2351</v>
      </c>
      <c r="J822" t="str">
        <f>HYPERLINK("https://climate.onebuilding.org/WMO_Region_4_North_and_Central_America/MEX_Mexico/ZAC_Zacatecas/MEX_ZAC_Sombrerete.764710_TMYx.2009-2023.zip")</f>
        <v>https://climate.onebuilding.org/WMO_Region_4_North_and_Central_America/MEX_Mexico/ZAC_Zacatecas/MEX_ZAC_Sombrerete.764710_TMYx.2009-2023.zip</v>
      </c>
    </row>
    <row r="823" spans="1:10" x14ac:dyDescent="0.25">
      <c r="A823" t="s">
        <v>399</v>
      </c>
      <c r="B823" t="s">
        <v>506</v>
      </c>
      <c r="C823" t="s">
        <v>507</v>
      </c>
      <c r="D823">
        <v>764710</v>
      </c>
      <c r="E823" t="s">
        <v>10</v>
      </c>
      <c r="F823">
        <v>23.632999999999999</v>
      </c>
      <c r="G823">
        <v>-103.65</v>
      </c>
      <c r="H823">
        <v>-6</v>
      </c>
      <c r="I823">
        <v>2351</v>
      </c>
      <c r="J823" t="str">
        <f>HYPERLINK("https://climate.onebuilding.org/WMO_Region_4_North_and_Central_America/MEX_Mexico/ZAC_Zacatecas/MEX_ZAC_Sombrerete.764710_TMYx.zip")</f>
        <v>https://climate.onebuilding.org/WMO_Region_4_North_and_Central_America/MEX_Mexico/ZAC_Zacatecas/MEX_ZAC_Sombrerete.764710_TMYx.zip</v>
      </c>
    </row>
    <row r="824" spans="1:10" x14ac:dyDescent="0.25">
      <c r="A824" t="s">
        <v>399</v>
      </c>
      <c r="B824" t="s">
        <v>509</v>
      </c>
      <c r="C824" t="s">
        <v>510</v>
      </c>
      <c r="D824">
        <v>764900</v>
      </c>
      <c r="E824" t="s">
        <v>10</v>
      </c>
      <c r="F824">
        <v>22.382999999999999</v>
      </c>
      <c r="G824">
        <v>-89.683000000000007</v>
      </c>
      <c r="H824">
        <v>-6</v>
      </c>
      <c r="I824">
        <v>1.5</v>
      </c>
      <c r="J824" t="str">
        <f>HYPERLINK("https://climate.onebuilding.org/WMO_Region_4_North_and_Central_America/MEX_Mexico/YUC_Yucatan/MEX_YUC_Isla.Perez.764900_TMYx.2007-2021.zip")</f>
        <v>https://climate.onebuilding.org/WMO_Region_4_North_and_Central_America/MEX_Mexico/YUC_Yucatan/MEX_YUC_Isla.Perez.764900_TMYx.2007-2021.zip</v>
      </c>
    </row>
    <row r="825" spans="1:10" x14ac:dyDescent="0.25">
      <c r="A825" t="s">
        <v>399</v>
      </c>
      <c r="B825" t="s">
        <v>509</v>
      </c>
      <c r="C825" t="s">
        <v>510</v>
      </c>
      <c r="D825">
        <v>764900</v>
      </c>
      <c r="E825" t="s">
        <v>10</v>
      </c>
      <c r="F825">
        <v>22.382999999999999</v>
      </c>
      <c r="G825">
        <v>-89.683000000000007</v>
      </c>
      <c r="H825">
        <v>-6</v>
      </c>
      <c r="I825">
        <v>1.5</v>
      </c>
      <c r="J825" t="str">
        <f>HYPERLINK("https://climate.onebuilding.org/WMO_Region_4_North_and_Central_America/MEX_Mexico/YUC_Yucatan/MEX_YUC_Isla.Perez.764900_TMYx.2009-2023.zip")</f>
        <v>https://climate.onebuilding.org/WMO_Region_4_North_and_Central_America/MEX_Mexico/YUC_Yucatan/MEX_YUC_Isla.Perez.764900_TMYx.2009-2023.zip</v>
      </c>
    </row>
    <row r="826" spans="1:10" x14ac:dyDescent="0.25">
      <c r="A826" t="s">
        <v>399</v>
      </c>
      <c r="B826" t="s">
        <v>509</v>
      </c>
      <c r="C826" t="s">
        <v>510</v>
      </c>
      <c r="D826">
        <v>764900</v>
      </c>
      <c r="E826" t="s">
        <v>10</v>
      </c>
      <c r="F826">
        <v>22.382999999999999</v>
      </c>
      <c r="G826">
        <v>-89.683000000000007</v>
      </c>
      <c r="H826">
        <v>-6</v>
      </c>
      <c r="I826">
        <v>1.5</v>
      </c>
      <c r="J826" t="str">
        <f>HYPERLINK("https://climate.onebuilding.org/WMO_Region_4_North_and_Central_America/MEX_Mexico/YUC_Yucatan/MEX_YUC_Isla.Perez.764900_TMYx.zip")</f>
        <v>https://climate.onebuilding.org/WMO_Region_4_North_and_Central_America/MEX_Mexico/YUC_Yucatan/MEX_YUC_Isla.Perez.764900_TMYx.zip</v>
      </c>
    </row>
    <row r="827" spans="1:10" x14ac:dyDescent="0.25">
      <c r="A827" t="s">
        <v>399</v>
      </c>
      <c r="B827" t="s">
        <v>450</v>
      </c>
      <c r="C827" t="s">
        <v>511</v>
      </c>
      <c r="D827">
        <v>764910</v>
      </c>
      <c r="E827" t="s">
        <v>512</v>
      </c>
      <c r="F827">
        <v>23.733000000000001</v>
      </c>
      <c r="G827">
        <v>-99.132999999999996</v>
      </c>
      <c r="H827">
        <v>-6</v>
      </c>
      <c r="I827">
        <v>355</v>
      </c>
      <c r="J827" t="str">
        <f>HYPERLINK("https://climate.onebuilding.org/WMO_Region_4_North_and_Central_America/MEX_Mexico/TAM_Tamaulipas/MEX_TAM_Ciudad.Victoria.764910_TMYx.2004-2018.zip")</f>
        <v>https://climate.onebuilding.org/WMO_Region_4_North_and_Central_America/MEX_Mexico/TAM_Tamaulipas/MEX_TAM_Ciudad.Victoria.764910_TMYx.2004-2018.zip</v>
      </c>
    </row>
    <row r="828" spans="1:10" x14ac:dyDescent="0.25">
      <c r="A828" t="s">
        <v>399</v>
      </c>
      <c r="B828" t="s">
        <v>450</v>
      </c>
      <c r="C828" t="s">
        <v>511</v>
      </c>
      <c r="D828">
        <v>764910</v>
      </c>
      <c r="E828" t="s">
        <v>10</v>
      </c>
      <c r="F828">
        <v>23.733000000000001</v>
      </c>
      <c r="G828">
        <v>-99.132999999999996</v>
      </c>
      <c r="H828">
        <v>-6</v>
      </c>
      <c r="I828">
        <v>355</v>
      </c>
      <c r="J828" t="str">
        <f>HYPERLINK("https://climate.onebuilding.org/WMO_Region_4_North_and_Central_America/MEX_Mexico/TAM_Tamaulipas/MEX_TAM_Ciudad.Victoria.764910_TMYx.2007-2021.zip")</f>
        <v>https://climate.onebuilding.org/WMO_Region_4_North_and_Central_America/MEX_Mexico/TAM_Tamaulipas/MEX_TAM_Ciudad.Victoria.764910_TMYx.2007-2021.zip</v>
      </c>
    </row>
    <row r="829" spans="1:10" x14ac:dyDescent="0.25">
      <c r="A829" t="s">
        <v>399</v>
      </c>
      <c r="B829" t="s">
        <v>450</v>
      </c>
      <c r="C829" t="s">
        <v>511</v>
      </c>
      <c r="D829">
        <v>764910</v>
      </c>
      <c r="E829" t="s">
        <v>10</v>
      </c>
      <c r="F829">
        <v>23.733000000000001</v>
      </c>
      <c r="G829">
        <v>-99.132999999999996</v>
      </c>
      <c r="H829">
        <v>-6</v>
      </c>
      <c r="I829">
        <v>355</v>
      </c>
      <c r="J829" t="str">
        <f>HYPERLINK("https://climate.onebuilding.org/WMO_Region_4_North_and_Central_America/MEX_Mexico/TAM_Tamaulipas/MEX_TAM_Ciudad.Victoria.764910_TMYx.2009-2023.zip")</f>
        <v>https://climate.onebuilding.org/WMO_Region_4_North_and_Central_America/MEX_Mexico/TAM_Tamaulipas/MEX_TAM_Ciudad.Victoria.764910_TMYx.2009-2023.zip</v>
      </c>
    </row>
    <row r="830" spans="1:10" x14ac:dyDescent="0.25">
      <c r="A830" t="s">
        <v>399</v>
      </c>
      <c r="B830" t="s">
        <v>450</v>
      </c>
      <c r="C830" t="s">
        <v>511</v>
      </c>
      <c r="D830">
        <v>764910</v>
      </c>
      <c r="E830" t="s">
        <v>10</v>
      </c>
      <c r="F830">
        <v>23.733000000000001</v>
      </c>
      <c r="G830">
        <v>-99.132999999999996</v>
      </c>
      <c r="H830">
        <v>-6</v>
      </c>
      <c r="I830">
        <v>355</v>
      </c>
      <c r="J830" t="str">
        <f>HYPERLINK("https://climate.onebuilding.org/WMO_Region_4_North_and_Central_America/MEX_Mexico/TAM_Tamaulipas/MEX_TAM_Ciudad.Victoria.764910_TMYx.zip")</f>
        <v>https://climate.onebuilding.org/WMO_Region_4_North_and_Central_America/MEX_Mexico/TAM_Tamaulipas/MEX_TAM_Ciudad.Victoria.764910_TMYx.zip</v>
      </c>
    </row>
    <row r="831" spans="1:10" x14ac:dyDescent="0.25">
      <c r="A831" t="s">
        <v>399</v>
      </c>
      <c r="B831" t="s">
        <v>450</v>
      </c>
      <c r="C831" t="s">
        <v>513</v>
      </c>
      <c r="D831">
        <v>764915</v>
      </c>
      <c r="E831" t="s">
        <v>514</v>
      </c>
      <c r="F831">
        <v>23</v>
      </c>
      <c r="G831">
        <v>-98.957999999999998</v>
      </c>
      <c r="H831">
        <v>-6</v>
      </c>
      <c r="I831">
        <v>57</v>
      </c>
      <c r="J831" t="str">
        <f>HYPERLINK("https://climate.onebuilding.org/WMO_Region_4_North_and_Central_America/MEX_Mexico/TAM_Tamaulipas/MEX_TAM_Cuidad.Victoria-Mendez.Intl.AP.764915_TMYx.2004-2018.zip")</f>
        <v>https://climate.onebuilding.org/WMO_Region_4_North_and_Central_America/MEX_Mexico/TAM_Tamaulipas/MEX_TAM_Cuidad.Victoria-Mendez.Intl.AP.764915_TMYx.2004-2018.zip</v>
      </c>
    </row>
    <row r="832" spans="1:10" x14ac:dyDescent="0.25">
      <c r="A832" t="s">
        <v>399</v>
      </c>
      <c r="B832" t="s">
        <v>450</v>
      </c>
      <c r="C832" t="s">
        <v>513</v>
      </c>
      <c r="D832">
        <v>764915</v>
      </c>
      <c r="E832" t="s">
        <v>10</v>
      </c>
      <c r="F832">
        <v>23</v>
      </c>
      <c r="G832">
        <v>-98.957999999999998</v>
      </c>
      <c r="H832">
        <v>-6</v>
      </c>
      <c r="I832">
        <v>57</v>
      </c>
      <c r="J832" t="str">
        <f>HYPERLINK("https://climate.onebuilding.org/WMO_Region_4_North_and_Central_America/MEX_Mexico/TAM_Tamaulipas/MEX_TAM_Cuidad.Victoria-Mendez.Intl.AP.764915_TMYx.2007-2021.zip")</f>
        <v>https://climate.onebuilding.org/WMO_Region_4_North_and_Central_America/MEX_Mexico/TAM_Tamaulipas/MEX_TAM_Cuidad.Victoria-Mendez.Intl.AP.764915_TMYx.2007-2021.zip</v>
      </c>
    </row>
    <row r="833" spans="1:10" x14ac:dyDescent="0.25">
      <c r="A833" t="s">
        <v>399</v>
      </c>
      <c r="B833" t="s">
        <v>450</v>
      </c>
      <c r="C833" t="s">
        <v>513</v>
      </c>
      <c r="D833">
        <v>764915</v>
      </c>
      <c r="E833" t="s">
        <v>10</v>
      </c>
      <c r="F833">
        <v>23</v>
      </c>
      <c r="G833">
        <v>-98.957999999999998</v>
      </c>
      <c r="H833">
        <v>-6</v>
      </c>
      <c r="I833">
        <v>57</v>
      </c>
      <c r="J833" t="str">
        <f>HYPERLINK("https://climate.onebuilding.org/WMO_Region_4_North_and_Central_America/MEX_Mexico/TAM_Tamaulipas/MEX_TAM_Cuidad.Victoria-Mendez.Intl.AP.764915_TMYx.2009-2023.zip")</f>
        <v>https://climate.onebuilding.org/WMO_Region_4_North_and_Central_America/MEX_Mexico/TAM_Tamaulipas/MEX_TAM_Cuidad.Victoria-Mendez.Intl.AP.764915_TMYx.2009-2023.zip</v>
      </c>
    </row>
    <row r="834" spans="1:10" x14ac:dyDescent="0.25">
      <c r="A834" t="s">
        <v>399</v>
      </c>
      <c r="B834" t="s">
        <v>450</v>
      </c>
      <c r="C834" t="s">
        <v>513</v>
      </c>
      <c r="D834">
        <v>764915</v>
      </c>
      <c r="E834" t="s">
        <v>10</v>
      </c>
      <c r="F834">
        <v>23</v>
      </c>
      <c r="G834">
        <v>-98.957999999999998</v>
      </c>
      <c r="H834">
        <v>-6</v>
      </c>
      <c r="I834">
        <v>57</v>
      </c>
      <c r="J834" t="str">
        <f>HYPERLINK("https://climate.onebuilding.org/WMO_Region_4_North_and_Central_America/MEX_Mexico/TAM_Tamaulipas/MEX_TAM_Cuidad.Victoria-Mendez.Intl.AP.764915_TMYx.zip")</f>
        <v>https://climate.onebuilding.org/WMO_Region_4_North_and_Central_America/MEX_Mexico/TAM_Tamaulipas/MEX_TAM_Cuidad.Victoria-Mendez.Intl.AP.764915_TMYx.zip</v>
      </c>
    </row>
    <row r="835" spans="1:10" x14ac:dyDescent="0.25">
      <c r="A835" t="s">
        <v>399</v>
      </c>
      <c r="B835" t="s">
        <v>450</v>
      </c>
      <c r="C835" t="s">
        <v>515</v>
      </c>
      <c r="D835">
        <v>764990</v>
      </c>
      <c r="E835" t="s">
        <v>516</v>
      </c>
      <c r="F835">
        <v>23.766999999999999</v>
      </c>
      <c r="G835">
        <v>-98.2</v>
      </c>
      <c r="H835">
        <v>-6</v>
      </c>
      <c r="I835">
        <v>21</v>
      </c>
      <c r="J835" t="str">
        <f>HYPERLINK("https://climate.onebuilding.org/WMO_Region_4_North_and_Central_America/MEX_Mexico/TAM_Tamaulipas/MEX_TAM_Soto.la.Marina.764990_TMYx.2004-2018.zip")</f>
        <v>https://climate.onebuilding.org/WMO_Region_4_North_and_Central_America/MEX_Mexico/TAM_Tamaulipas/MEX_TAM_Soto.la.Marina.764990_TMYx.2004-2018.zip</v>
      </c>
    </row>
    <row r="836" spans="1:10" x14ac:dyDescent="0.25">
      <c r="A836" t="s">
        <v>399</v>
      </c>
      <c r="B836" t="s">
        <v>450</v>
      </c>
      <c r="C836" t="s">
        <v>515</v>
      </c>
      <c r="D836">
        <v>764990</v>
      </c>
      <c r="E836" t="s">
        <v>10</v>
      </c>
      <c r="F836">
        <v>23.766999999999999</v>
      </c>
      <c r="G836">
        <v>-98.2</v>
      </c>
      <c r="H836">
        <v>-6</v>
      </c>
      <c r="I836">
        <v>21</v>
      </c>
      <c r="J836" t="str">
        <f>HYPERLINK("https://climate.onebuilding.org/WMO_Region_4_North_and_Central_America/MEX_Mexico/TAM_Tamaulipas/MEX_TAM_Soto.la.Marina.764990_TMYx.2007-2021.zip")</f>
        <v>https://climate.onebuilding.org/WMO_Region_4_North_and_Central_America/MEX_Mexico/TAM_Tamaulipas/MEX_TAM_Soto.la.Marina.764990_TMYx.2007-2021.zip</v>
      </c>
    </row>
    <row r="837" spans="1:10" x14ac:dyDescent="0.25">
      <c r="A837" t="s">
        <v>399</v>
      </c>
      <c r="B837" t="s">
        <v>450</v>
      </c>
      <c r="C837" t="s">
        <v>515</v>
      </c>
      <c r="D837">
        <v>764990</v>
      </c>
      <c r="E837" t="s">
        <v>10</v>
      </c>
      <c r="F837">
        <v>23.766999999999999</v>
      </c>
      <c r="G837">
        <v>-98.2</v>
      </c>
      <c r="H837">
        <v>-6</v>
      </c>
      <c r="I837">
        <v>21</v>
      </c>
      <c r="J837" t="str">
        <f>HYPERLINK("https://climate.onebuilding.org/WMO_Region_4_North_and_Central_America/MEX_Mexico/TAM_Tamaulipas/MEX_TAM_Soto.la.Marina.764990_TMYx.2009-2023.zip")</f>
        <v>https://climate.onebuilding.org/WMO_Region_4_North_and_Central_America/MEX_Mexico/TAM_Tamaulipas/MEX_TAM_Soto.la.Marina.764990_TMYx.2009-2023.zip</v>
      </c>
    </row>
    <row r="838" spans="1:10" x14ac:dyDescent="0.25">
      <c r="A838" t="s">
        <v>399</v>
      </c>
      <c r="B838" t="s">
        <v>450</v>
      </c>
      <c r="C838" t="s">
        <v>515</v>
      </c>
      <c r="D838">
        <v>764990</v>
      </c>
      <c r="E838" t="s">
        <v>10</v>
      </c>
      <c r="F838">
        <v>23.766999999999999</v>
      </c>
      <c r="G838">
        <v>-98.2</v>
      </c>
      <c r="H838">
        <v>-6</v>
      </c>
      <c r="I838">
        <v>21</v>
      </c>
      <c r="J838" t="str">
        <f>HYPERLINK("https://climate.onebuilding.org/WMO_Region_4_North_and_Central_America/MEX_Mexico/TAM_Tamaulipas/MEX_TAM_Soto.la.Marina.764990_TMYx.zip")</f>
        <v>https://climate.onebuilding.org/WMO_Region_4_North_and_Central_America/MEX_Mexico/TAM_Tamaulipas/MEX_TAM_Soto.la.Marina.764990_TMYx.zip</v>
      </c>
    </row>
    <row r="839" spans="1:10" x14ac:dyDescent="0.25">
      <c r="A839" t="s">
        <v>399</v>
      </c>
      <c r="B839" t="s">
        <v>506</v>
      </c>
      <c r="C839" t="s">
        <v>517</v>
      </c>
      <c r="D839">
        <v>765180</v>
      </c>
      <c r="E839" t="s">
        <v>18</v>
      </c>
      <c r="F839">
        <v>22.382999999999999</v>
      </c>
      <c r="G839">
        <v>-103.367</v>
      </c>
      <c r="H839">
        <v>-6</v>
      </c>
      <c r="I839">
        <v>1932</v>
      </c>
      <c r="J839" t="str">
        <f>HYPERLINK("https://climate.onebuilding.org/WMO_Region_4_North_and_Central_America/MEX_Mexico/ZAC_Zacatecas/MEX_ZAC_Huejucar.765180_TMYx.2007-2021.zip")</f>
        <v>https://climate.onebuilding.org/WMO_Region_4_North_and_Central_America/MEX_Mexico/ZAC_Zacatecas/MEX_ZAC_Huejucar.765180_TMYx.2007-2021.zip</v>
      </c>
    </row>
    <row r="840" spans="1:10" x14ac:dyDescent="0.25">
      <c r="A840" t="s">
        <v>399</v>
      </c>
      <c r="B840" t="s">
        <v>506</v>
      </c>
      <c r="C840" t="s">
        <v>517</v>
      </c>
      <c r="D840">
        <v>765180</v>
      </c>
      <c r="E840" t="s">
        <v>18</v>
      </c>
      <c r="F840">
        <v>22.382999999999999</v>
      </c>
      <c r="G840">
        <v>-103.367</v>
      </c>
      <c r="H840">
        <v>-6</v>
      </c>
      <c r="I840">
        <v>1932</v>
      </c>
      <c r="J840" t="str">
        <f>HYPERLINK("https://climate.onebuilding.org/WMO_Region_4_North_and_Central_America/MEX_Mexico/ZAC_Zacatecas/MEX_ZAC_Huejucar.765180_TMYx.2009-2023.zip")</f>
        <v>https://climate.onebuilding.org/WMO_Region_4_North_and_Central_America/MEX_Mexico/ZAC_Zacatecas/MEX_ZAC_Huejucar.765180_TMYx.2009-2023.zip</v>
      </c>
    </row>
    <row r="841" spans="1:10" x14ac:dyDescent="0.25">
      <c r="A841" t="s">
        <v>399</v>
      </c>
      <c r="B841" t="s">
        <v>506</v>
      </c>
      <c r="C841" t="s">
        <v>517</v>
      </c>
      <c r="D841">
        <v>765180</v>
      </c>
      <c r="E841" t="s">
        <v>18</v>
      </c>
      <c r="F841">
        <v>22.382999999999999</v>
      </c>
      <c r="G841">
        <v>-103.367</v>
      </c>
      <c r="H841">
        <v>-6</v>
      </c>
      <c r="I841">
        <v>1932</v>
      </c>
      <c r="J841" t="str">
        <f>HYPERLINK("https://climate.onebuilding.org/WMO_Region_4_North_and_Central_America/MEX_Mexico/ZAC_Zacatecas/MEX_ZAC_Huejucar.765180_TMYx.zip")</f>
        <v>https://climate.onebuilding.org/WMO_Region_4_North_and_Central_America/MEX_Mexico/ZAC_Zacatecas/MEX_ZAC_Huejucar.765180_TMYx.zip</v>
      </c>
    </row>
    <row r="842" spans="1:10" x14ac:dyDescent="0.25">
      <c r="A842" t="s">
        <v>399</v>
      </c>
      <c r="B842" t="s">
        <v>518</v>
      </c>
      <c r="C842" t="s">
        <v>519</v>
      </c>
      <c r="D842">
        <v>765190</v>
      </c>
      <c r="E842" t="s">
        <v>520</v>
      </c>
      <c r="F842">
        <v>22.1</v>
      </c>
      <c r="G842">
        <v>-103.267</v>
      </c>
      <c r="H842">
        <v>-6</v>
      </c>
      <c r="I842">
        <v>1673</v>
      </c>
      <c r="J842" t="str">
        <f>HYPERLINK("https://climate.onebuilding.org/WMO_Region_4_North_and_Central_America/MEX_Mexico/JAL_Jalisco/MEX_JAL_Colotlan.765190_TMYx.2004-2018.zip")</f>
        <v>https://climate.onebuilding.org/WMO_Region_4_North_and_Central_America/MEX_Mexico/JAL_Jalisco/MEX_JAL_Colotlan.765190_TMYx.2004-2018.zip</v>
      </c>
    </row>
    <row r="843" spans="1:10" x14ac:dyDescent="0.25">
      <c r="A843" t="s">
        <v>399</v>
      </c>
      <c r="B843" t="s">
        <v>518</v>
      </c>
      <c r="C843" t="s">
        <v>519</v>
      </c>
      <c r="D843">
        <v>765190</v>
      </c>
      <c r="E843" t="s">
        <v>10</v>
      </c>
      <c r="F843">
        <v>22.1</v>
      </c>
      <c r="G843">
        <v>-103.267</v>
      </c>
      <c r="H843">
        <v>-6</v>
      </c>
      <c r="I843">
        <v>1673</v>
      </c>
      <c r="J843" t="str">
        <f>HYPERLINK("https://climate.onebuilding.org/WMO_Region_4_North_and_Central_America/MEX_Mexico/JAL_Jalisco/MEX_JAL_Colotlan.765190_TMYx.2007-2021.zip")</f>
        <v>https://climate.onebuilding.org/WMO_Region_4_North_and_Central_America/MEX_Mexico/JAL_Jalisco/MEX_JAL_Colotlan.765190_TMYx.2007-2021.zip</v>
      </c>
    </row>
    <row r="844" spans="1:10" x14ac:dyDescent="0.25">
      <c r="A844" t="s">
        <v>399</v>
      </c>
      <c r="B844" t="s">
        <v>518</v>
      </c>
      <c r="C844" t="s">
        <v>519</v>
      </c>
      <c r="D844">
        <v>765190</v>
      </c>
      <c r="E844" t="s">
        <v>10</v>
      </c>
      <c r="F844">
        <v>22.1</v>
      </c>
      <c r="G844">
        <v>-103.267</v>
      </c>
      <c r="H844">
        <v>-6</v>
      </c>
      <c r="I844">
        <v>1673</v>
      </c>
      <c r="J844" t="str">
        <f>HYPERLINK("https://climate.onebuilding.org/WMO_Region_4_North_and_Central_America/MEX_Mexico/JAL_Jalisco/MEX_JAL_Colotlan.765190_TMYx.2009-2023.zip")</f>
        <v>https://climate.onebuilding.org/WMO_Region_4_North_and_Central_America/MEX_Mexico/JAL_Jalisco/MEX_JAL_Colotlan.765190_TMYx.2009-2023.zip</v>
      </c>
    </row>
    <row r="845" spans="1:10" x14ac:dyDescent="0.25">
      <c r="A845" t="s">
        <v>399</v>
      </c>
      <c r="B845" t="s">
        <v>518</v>
      </c>
      <c r="C845" t="s">
        <v>519</v>
      </c>
      <c r="D845">
        <v>765190</v>
      </c>
      <c r="E845" t="s">
        <v>10</v>
      </c>
      <c r="F845">
        <v>22.1</v>
      </c>
      <c r="G845">
        <v>-103.267</v>
      </c>
      <c r="H845">
        <v>-6</v>
      </c>
      <c r="I845">
        <v>1673</v>
      </c>
      <c r="J845" t="str">
        <f>HYPERLINK("https://climate.onebuilding.org/WMO_Region_4_North_and_Central_America/MEX_Mexico/JAL_Jalisco/MEX_JAL_Colotlan.765190_TMYx.zip")</f>
        <v>https://climate.onebuilding.org/WMO_Region_4_North_and_Central_America/MEX_Mexico/JAL_Jalisco/MEX_JAL_Colotlan.765190_TMYx.zip</v>
      </c>
    </row>
    <row r="846" spans="1:10" x14ac:dyDescent="0.25">
      <c r="A846" t="s">
        <v>399</v>
      </c>
      <c r="B846" t="s">
        <v>506</v>
      </c>
      <c r="C846" t="s">
        <v>521</v>
      </c>
      <c r="D846">
        <v>765250</v>
      </c>
      <c r="E846" t="s">
        <v>522</v>
      </c>
      <c r="F846">
        <v>22.783000000000001</v>
      </c>
      <c r="G846">
        <v>-102.56699999999999</v>
      </c>
      <c r="H846">
        <v>-6</v>
      </c>
      <c r="I846">
        <v>2612</v>
      </c>
      <c r="J846" t="str">
        <f>HYPERLINK("https://climate.onebuilding.org/WMO_Region_4_North_and_Central_America/MEX_Mexico/ZAC_Zacatecas/MEX_ZAC_Zacatecas-La.Bufa.Hill.765250_TMYx.2004-2018.zip")</f>
        <v>https://climate.onebuilding.org/WMO_Region_4_North_and_Central_America/MEX_Mexico/ZAC_Zacatecas/MEX_ZAC_Zacatecas-La.Bufa.Hill.765250_TMYx.2004-2018.zip</v>
      </c>
    </row>
    <row r="847" spans="1:10" x14ac:dyDescent="0.25">
      <c r="A847" t="s">
        <v>399</v>
      </c>
      <c r="B847" t="s">
        <v>506</v>
      </c>
      <c r="C847" t="s">
        <v>521</v>
      </c>
      <c r="D847">
        <v>765250</v>
      </c>
      <c r="E847" t="s">
        <v>10</v>
      </c>
      <c r="F847">
        <v>22.783000000000001</v>
      </c>
      <c r="G847">
        <v>-102.56699999999999</v>
      </c>
      <c r="H847">
        <v>-6</v>
      </c>
      <c r="I847">
        <v>2612</v>
      </c>
      <c r="J847" t="str">
        <f>HYPERLINK("https://climate.onebuilding.org/WMO_Region_4_North_and_Central_America/MEX_Mexico/ZAC_Zacatecas/MEX_ZAC_Zacatecas-La.Bufa.Hill.765250_TMYx.2007-2021.zip")</f>
        <v>https://climate.onebuilding.org/WMO_Region_4_North_and_Central_America/MEX_Mexico/ZAC_Zacatecas/MEX_ZAC_Zacatecas-La.Bufa.Hill.765250_TMYx.2007-2021.zip</v>
      </c>
    </row>
    <row r="848" spans="1:10" x14ac:dyDescent="0.25">
      <c r="A848" t="s">
        <v>399</v>
      </c>
      <c r="B848" t="s">
        <v>506</v>
      </c>
      <c r="C848" t="s">
        <v>521</v>
      </c>
      <c r="D848">
        <v>765250</v>
      </c>
      <c r="E848" t="s">
        <v>10</v>
      </c>
      <c r="F848">
        <v>22.783000000000001</v>
      </c>
      <c r="G848">
        <v>-102.56699999999999</v>
      </c>
      <c r="H848">
        <v>-6</v>
      </c>
      <c r="I848">
        <v>2612</v>
      </c>
      <c r="J848" t="str">
        <f>HYPERLINK("https://climate.onebuilding.org/WMO_Region_4_North_and_Central_America/MEX_Mexico/ZAC_Zacatecas/MEX_ZAC_Zacatecas-La.Bufa.Hill.765250_TMYx.2009-2023.zip")</f>
        <v>https://climate.onebuilding.org/WMO_Region_4_North_and_Central_America/MEX_Mexico/ZAC_Zacatecas/MEX_ZAC_Zacatecas-La.Bufa.Hill.765250_TMYx.2009-2023.zip</v>
      </c>
    </row>
    <row r="849" spans="1:10" x14ac:dyDescent="0.25">
      <c r="A849" t="s">
        <v>399</v>
      </c>
      <c r="B849" t="s">
        <v>506</v>
      </c>
      <c r="C849" t="s">
        <v>521</v>
      </c>
      <c r="D849">
        <v>765250</v>
      </c>
      <c r="E849" t="s">
        <v>10</v>
      </c>
      <c r="F849">
        <v>22.783000000000001</v>
      </c>
      <c r="G849">
        <v>-102.56699999999999</v>
      </c>
      <c r="H849">
        <v>-6</v>
      </c>
      <c r="I849">
        <v>2612</v>
      </c>
      <c r="J849" t="str">
        <f>HYPERLINK("https://climate.onebuilding.org/WMO_Region_4_North_and_Central_America/MEX_Mexico/ZAC_Zacatecas/MEX_ZAC_Zacatecas-La.Bufa.Hill.765250_TMYx.zip")</f>
        <v>https://climate.onebuilding.org/WMO_Region_4_North_and_Central_America/MEX_Mexico/ZAC_Zacatecas/MEX_ZAC_Zacatecas-La.Bufa.Hill.765250_TMYx.zip</v>
      </c>
    </row>
    <row r="850" spans="1:10" x14ac:dyDescent="0.25">
      <c r="A850" t="s">
        <v>399</v>
      </c>
      <c r="B850" t="s">
        <v>506</v>
      </c>
      <c r="C850" t="s">
        <v>523</v>
      </c>
      <c r="D850">
        <v>765255</v>
      </c>
      <c r="E850" t="s">
        <v>524</v>
      </c>
      <c r="F850">
        <v>22.896999999999998</v>
      </c>
      <c r="G850">
        <v>-102.687</v>
      </c>
      <c r="H850">
        <v>-6</v>
      </c>
      <c r="I850">
        <v>2176.6</v>
      </c>
      <c r="J850" t="str">
        <f>HYPERLINK("https://climate.onebuilding.org/WMO_Region_4_North_and_Central_America/MEX_Mexico/ZAC_Zacatecas/MEX_ZAC_Zacatecas-Ruiz.Intl.AP.765255_TMYx.2004-2018.zip")</f>
        <v>https://climate.onebuilding.org/WMO_Region_4_North_and_Central_America/MEX_Mexico/ZAC_Zacatecas/MEX_ZAC_Zacatecas-Ruiz.Intl.AP.765255_TMYx.2004-2018.zip</v>
      </c>
    </row>
    <row r="851" spans="1:10" x14ac:dyDescent="0.25">
      <c r="A851" t="s">
        <v>399</v>
      </c>
      <c r="B851" t="s">
        <v>506</v>
      </c>
      <c r="C851" t="s">
        <v>523</v>
      </c>
      <c r="D851">
        <v>765255</v>
      </c>
      <c r="E851" t="s">
        <v>10</v>
      </c>
      <c r="F851">
        <v>22.896999999999998</v>
      </c>
      <c r="G851">
        <v>-102.687</v>
      </c>
      <c r="H851">
        <v>-6</v>
      </c>
      <c r="I851">
        <v>2176.6</v>
      </c>
      <c r="J851" t="str">
        <f>HYPERLINK("https://climate.onebuilding.org/WMO_Region_4_North_and_Central_America/MEX_Mexico/ZAC_Zacatecas/MEX_ZAC_Zacatecas-Ruiz.Intl.AP.765255_TMYx.2007-2021.zip")</f>
        <v>https://climate.onebuilding.org/WMO_Region_4_North_and_Central_America/MEX_Mexico/ZAC_Zacatecas/MEX_ZAC_Zacatecas-Ruiz.Intl.AP.765255_TMYx.2007-2021.zip</v>
      </c>
    </row>
    <row r="852" spans="1:10" x14ac:dyDescent="0.25">
      <c r="A852" t="s">
        <v>399</v>
      </c>
      <c r="B852" t="s">
        <v>506</v>
      </c>
      <c r="C852" t="s">
        <v>523</v>
      </c>
      <c r="D852">
        <v>765255</v>
      </c>
      <c r="E852" t="s">
        <v>10</v>
      </c>
      <c r="F852">
        <v>22.896999999999998</v>
      </c>
      <c r="G852">
        <v>-102.687</v>
      </c>
      <c r="H852">
        <v>-6</v>
      </c>
      <c r="I852">
        <v>2176.6</v>
      </c>
      <c r="J852" t="str">
        <f>HYPERLINK("https://climate.onebuilding.org/WMO_Region_4_North_and_Central_America/MEX_Mexico/ZAC_Zacatecas/MEX_ZAC_Zacatecas-Ruiz.Intl.AP.765255_TMYx.2009-2023.zip")</f>
        <v>https://climate.onebuilding.org/WMO_Region_4_North_and_Central_America/MEX_Mexico/ZAC_Zacatecas/MEX_ZAC_Zacatecas-Ruiz.Intl.AP.765255_TMYx.2009-2023.zip</v>
      </c>
    </row>
    <row r="853" spans="1:10" x14ac:dyDescent="0.25">
      <c r="A853" t="s">
        <v>399</v>
      </c>
      <c r="B853" t="s">
        <v>506</v>
      </c>
      <c r="C853" t="s">
        <v>523</v>
      </c>
      <c r="D853">
        <v>765255</v>
      </c>
      <c r="E853" t="s">
        <v>10</v>
      </c>
      <c r="F853">
        <v>22.896999999999998</v>
      </c>
      <c r="G853">
        <v>-102.687</v>
      </c>
      <c r="H853">
        <v>-6</v>
      </c>
      <c r="I853">
        <v>2176.6</v>
      </c>
      <c r="J853" t="str">
        <f>HYPERLINK("https://climate.onebuilding.org/WMO_Region_4_North_and_Central_America/MEX_Mexico/ZAC_Zacatecas/MEX_ZAC_Zacatecas-Ruiz.Intl.AP.765255_TMYx.zip")</f>
        <v>https://climate.onebuilding.org/WMO_Region_4_North_and_Central_America/MEX_Mexico/ZAC_Zacatecas/MEX_ZAC_Zacatecas-Ruiz.Intl.AP.765255_TMYx.zip</v>
      </c>
    </row>
    <row r="854" spans="1:10" x14ac:dyDescent="0.25">
      <c r="A854" t="s">
        <v>399</v>
      </c>
      <c r="B854" t="s">
        <v>506</v>
      </c>
      <c r="C854" t="s">
        <v>525</v>
      </c>
      <c r="D854">
        <v>765260</v>
      </c>
      <c r="E854" t="s">
        <v>18</v>
      </c>
      <c r="F854">
        <v>22.75</v>
      </c>
      <c r="G854">
        <v>-102.5</v>
      </c>
      <c r="H854">
        <v>-6</v>
      </c>
      <c r="I854">
        <v>2440</v>
      </c>
      <c r="J854" t="str">
        <f>HYPERLINK("https://climate.onebuilding.org/WMO_Region_4_North_and_Central_America/MEX_Mexico/ZAC_Zacatecas/MEX_ZAC_Zacatecas.765260_TMYx.2007-2021.zip")</f>
        <v>https://climate.onebuilding.org/WMO_Region_4_North_and_Central_America/MEX_Mexico/ZAC_Zacatecas/MEX_ZAC_Zacatecas.765260_TMYx.2007-2021.zip</v>
      </c>
    </row>
    <row r="855" spans="1:10" x14ac:dyDescent="0.25">
      <c r="A855" t="s">
        <v>399</v>
      </c>
      <c r="B855" t="s">
        <v>506</v>
      </c>
      <c r="C855" t="s">
        <v>525</v>
      </c>
      <c r="D855">
        <v>765260</v>
      </c>
      <c r="E855" t="s">
        <v>18</v>
      </c>
      <c r="F855">
        <v>22.75</v>
      </c>
      <c r="G855">
        <v>-102.5</v>
      </c>
      <c r="H855">
        <v>-6</v>
      </c>
      <c r="I855">
        <v>2440</v>
      </c>
      <c r="J855" t="str">
        <f>HYPERLINK("https://climate.onebuilding.org/WMO_Region_4_North_and_Central_America/MEX_Mexico/ZAC_Zacatecas/MEX_ZAC_Zacatecas.765260_TMYx.2009-2023.zip")</f>
        <v>https://climate.onebuilding.org/WMO_Region_4_North_and_Central_America/MEX_Mexico/ZAC_Zacatecas/MEX_ZAC_Zacatecas.765260_TMYx.2009-2023.zip</v>
      </c>
    </row>
    <row r="856" spans="1:10" x14ac:dyDescent="0.25">
      <c r="A856" t="s">
        <v>399</v>
      </c>
      <c r="B856" t="s">
        <v>506</v>
      </c>
      <c r="C856" t="s">
        <v>525</v>
      </c>
      <c r="D856">
        <v>765260</v>
      </c>
      <c r="E856" t="s">
        <v>18</v>
      </c>
      <c r="F856">
        <v>22.75</v>
      </c>
      <c r="G856">
        <v>-102.5</v>
      </c>
      <c r="H856">
        <v>-6</v>
      </c>
      <c r="I856">
        <v>2440</v>
      </c>
      <c r="J856" t="str">
        <f>HYPERLINK("https://climate.onebuilding.org/WMO_Region_4_North_and_Central_America/MEX_Mexico/ZAC_Zacatecas/MEX_ZAC_Zacatecas.765260_TMYx.zip")</f>
        <v>https://climate.onebuilding.org/WMO_Region_4_North_and_Central_America/MEX_Mexico/ZAC_Zacatecas/MEX_ZAC_Zacatecas.765260_TMYx.zip</v>
      </c>
    </row>
    <row r="857" spans="1:10" x14ac:dyDescent="0.25">
      <c r="A857" t="s">
        <v>399</v>
      </c>
      <c r="B857" t="s">
        <v>526</v>
      </c>
      <c r="C857" t="s">
        <v>527</v>
      </c>
      <c r="D857">
        <v>765390</v>
      </c>
      <c r="E857" t="s">
        <v>528</v>
      </c>
      <c r="F857">
        <v>22.254000000000001</v>
      </c>
      <c r="G857">
        <v>-100.931</v>
      </c>
      <c r="H857">
        <v>-6</v>
      </c>
      <c r="I857">
        <v>1839.5</v>
      </c>
      <c r="J857" t="str">
        <f>HYPERLINK("https://climate.onebuilding.org/WMO_Region_4_North_and_Central_America/MEX_Mexico/SLP_San_Luis_Potosi/MEX_SLP_San.Luis.Potosi.765390_TMYx.2004-2018.zip")</f>
        <v>https://climate.onebuilding.org/WMO_Region_4_North_and_Central_America/MEX_Mexico/SLP_San_Luis_Potosi/MEX_SLP_San.Luis.Potosi.765390_TMYx.2004-2018.zip</v>
      </c>
    </row>
    <row r="858" spans="1:10" x14ac:dyDescent="0.25">
      <c r="A858" t="s">
        <v>399</v>
      </c>
      <c r="B858" t="s">
        <v>526</v>
      </c>
      <c r="C858" t="s">
        <v>527</v>
      </c>
      <c r="D858">
        <v>765390</v>
      </c>
      <c r="E858" t="s">
        <v>10</v>
      </c>
      <c r="F858">
        <v>22.175799999999999</v>
      </c>
      <c r="G858">
        <v>-100.9875</v>
      </c>
      <c r="H858">
        <v>-6</v>
      </c>
      <c r="I858">
        <v>1883</v>
      </c>
      <c r="J858" t="str">
        <f>HYPERLINK("https://climate.onebuilding.org/WMO_Region_4_North_and_Central_America/MEX_Mexico/SLP_San_Luis_Potosi/MEX_SLP_San.Luis.Potosi.765390_TMYx.2007-2021.zip")</f>
        <v>https://climate.onebuilding.org/WMO_Region_4_North_and_Central_America/MEX_Mexico/SLP_San_Luis_Potosi/MEX_SLP_San.Luis.Potosi.765390_TMYx.2007-2021.zip</v>
      </c>
    </row>
    <row r="859" spans="1:10" x14ac:dyDescent="0.25">
      <c r="A859" t="s">
        <v>399</v>
      </c>
      <c r="B859" t="s">
        <v>526</v>
      </c>
      <c r="C859" t="s">
        <v>527</v>
      </c>
      <c r="D859">
        <v>765390</v>
      </c>
      <c r="E859" t="s">
        <v>10</v>
      </c>
      <c r="F859">
        <v>22.175799999999999</v>
      </c>
      <c r="G859">
        <v>-100.9875</v>
      </c>
      <c r="H859">
        <v>-6</v>
      </c>
      <c r="I859">
        <v>1883</v>
      </c>
      <c r="J859" t="str">
        <f>HYPERLINK("https://climate.onebuilding.org/WMO_Region_4_North_and_Central_America/MEX_Mexico/SLP_San_Luis_Potosi/MEX_SLP_San.Luis.Potosi.765390_TMYx.2009-2023.zip")</f>
        <v>https://climate.onebuilding.org/WMO_Region_4_North_and_Central_America/MEX_Mexico/SLP_San_Luis_Potosi/MEX_SLP_San.Luis.Potosi.765390_TMYx.2009-2023.zip</v>
      </c>
    </row>
    <row r="860" spans="1:10" x14ac:dyDescent="0.25">
      <c r="A860" t="s">
        <v>399</v>
      </c>
      <c r="B860" t="s">
        <v>526</v>
      </c>
      <c r="C860" t="s">
        <v>527</v>
      </c>
      <c r="D860">
        <v>765390</v>
      </c>
      <c r="E860" t="s">
        <v>10</v>
      </c>
      <c r="F860">
        <v>22.175799999999999</v>
      </c>
      <c r="G860">
        <v>-100.9875</v>
      </c>
      <c r="H860">
        <v>-6</v>
      </c>
      <c r="I860">
        <v>1883</v>
      </c>
      <c r="J860" t="str">
        <f>HYPERLINK("https://climate.onebuilding.org/WMO_Region_4_North_and_Central_America/MEX_Mexico/SLP_San_Luis_Potosi/MEX_SLP_San.Luis.Potosi.765390_TMYx.zip")</f>
        <v>https://climate.onebuilding.org/WMO_Region_4_North_and_Central_America/MEX_Mexico/SLP_San_Luis_Potosi/MEX_SLP_San.Luis.Potosi.765390_TMYx.zip</v>
      </c>
    </row>
    <row r="861" spans="1:10" x14ac:dyDescent="0.25">
      <c r="A861" t="s">
        <v>399</v>
      </c>
      <c r="B861" t="s">
        <v>526</v>
      </c>
      <c r="C861" t="s">
        <v>529</v>
      </c>
      <c r="D861">
        <v>765430</v>
      </c>
      <c r="E861" t="s">
        <v>530</v>
      </c>
      <c r="F861">
        <v>22</v>
      </c>
      <c r="G861">
        <v>-98.766999999999996</v>
      </c>
      <c r="H861">
        <v>-6</v>
      </c>
      <c r="I861">
        <v>104</v>
      </c>
      <c r="J861" t="str">
        <f>HYPERLINK("https://climate.onebuilding.org/WMO_Region_4_North_and_Central_America/MEX_Mexico/SLP_San_Luis_Potosi/MEX_SLP_Tamuin.765430_TMYx.2004-2018.zip")</f>
        <v>https://climate.onebuilding.org/WMO_Region_4_North_and_Central_America/MEX_Mexico/SLP_San_Luis_Potosi/MEX_SLP_Tamuin.765430_TMYx.2004-2018.zip</v>
      </c>
    </row>
    <row r="862" spans="1:10" x14ac:dyDescent="0.25">
      <c r="A862" t="s">
        <v>399</v>
      </c>
      <c r="B862" t="s">
        <v>526</v>
      </c>
      <c r="C862" t="s">
        <v>529</v>
      </c>
      <c r="D862">
        <v>765430</v>
      </c>
      <c r="E862" t="s">
        <v>10</v>
      </c>
      <c r="F862">
        <v>22</v>
      </c>
      <c r="G862">
        <v>-98.766999999999996</v>
      </c>
      <c r="H862">
        <v>-6</v>
      </c>
      <c r="I862">
        <v>104</v>
      </c>
      <c r="J862" t="str">
        <f>HYPERLINK("https://climate.onebuilding.org/WMO_Region_4_North_and_Central_America/MEX_Mexico/SLP_San_Luis_Potosi/MEX_SLP_Tamuin.765430_TMYx.2007-2021.zip")</f>
        <v>https://climate.onebuilding.org/WMO_Region_4_North_and_Central_America/MEX_Mexico/SLP_San_Luis_Potosi/MEX_SLP_Tamuin.765430_TMYx.2007-2021.zip</v>
      </c>
    </row>
    <row r="863" spans="1:10" x14ac:dyDescent="0.25">
      <c r="A863" t="s">
        <v>399</v>
      </c>
      <c r="B863" t="s">
        <v>526</v>
      </c>
      <c r="C863" t="s">
        <v>529</v>
      </c>
      <c r="D863">
        <v>765430</v>
      </c>
      <c r="E863" t="s">
        <v>10</v>
      </c>
      <c r="F863">
        <v>22</v>
      </c>
      <c r="G863">
        <v>-98.766999999999996</v>
      </c>
      <c r="H863">
        <v>-6</v>
      </c>
      <c r="I863">
        <v>104</v>
      </c>
      <c r="J863" t="str">
        <f>HYPERLINK("https://climate.onebuilding.org/WMO_Region_4_North_and_Central_America/MEX_Mexico/SLP_San_Luis_Potosi/MEX_SLP_Tamuin.765430_TMYx.2009-2023.zip")</f>
        <v>https://climate.onebuilding.org/WMO_Region_4_North_and_Central_America/MEX_Mexico/SLP_San_Luis_Potosi/MEX_SLP_Tamuin.765430_TMYx.2009-2023.zip</v>
      </c>
    </row>
    <row r="864" spans="1:10" x14ac:dyDescent="0.25">
      <c r="A864" t="s">
        <v>399</v>
      </c>
      <c r="B864" t="s">
        <v>526</v>
      </c>
      <c r="C864" t="s">
        <v>529</v>
      </c>
      <c r="D864">
        <v>765430</v>
      </c>
      <c r="E864" t="s">
        <v>10</v>
      </c>
      <c r="F864">
        <v>22</v>
      </c>
      <c r="G864">
        <v>-98.766999999999996</v>
      </c>
      <c r="H864">
        <v>-6</v>
      </c>
      <c r="I864">
        <v>104</v>
      </c>
      <c r="J864" t="str">
        <f>HYPERLINK("https://climate.onebuilding.org/WMO_Region_4_North_and_Central_America/MEX_Mexico/SLP_San_Luis_Potosi/MEX_SLP_Tamuin.765430_TMYx.zip")</f>
        <v>https://climate.onebuilding.org/WMO_Region_4_North_and_Central_America/MEX_Mexico/SLP_San_Luis_Potosi/MEX_SLP_Tamuin.765430_TMYx.zip</v>
      </c>
    </row>
    <row r="865" spans="1:10" x14ac:dyDescent="0.25">
      <c r="A865" t="s">
        <v>399</v>
      </c>
      <c r="B865" t="s">
        <v>450</v>
      </c>
      <c r="C865" t="s">
        <v>531</v>
      </c>
      <c r="D865">
        <v>765480</v>
      </c>
      <c r="E865" t="s">
        <v>532</v>
      </c>
      <c r="F865">
        <v>22.2</v>
      </c>
      <c r="G865">
        <v>-97.85</v>
      </c>
      <c r="H865">
        <v>-6</v>
      </c>
      <c r="I865">
        <v>25</v>
      </c>
      <c r="J865" t="str">
        <f>HYPERLINK("https://climate.onebuilding.org/WMO_Region_4_North_and_Central_America/MEX_Mexico/TAM_Tamaulipas/MEX_TAM_Tampico.765480_TMYx.2004-2018.zip")</f>
        <v>https://climate.onebuilding.org/WMO_Region_4_North_and_Central_America/MEX_Mexico/TAM_Tamaulipas/MEX_TAM_Tampico.765480_TMYx.2004-2018.zip</v>
      </c>
    </row>
    <row r="866" spans="1:10" x14ac:dyDescent="0.25">
      <c r="A866" t="s">
        <v>399</v>
      </c>
      <c r="B866" t="s">
        <v>450</v>
      </c>
      <c r="C866" t="s">
        <v>531</v>
      </c>
      <c r="D866">
        <v>765480</v>
      </c>
      <c r="E866" t="s">
        <v>10</v>
      </c>
      <c r="F866">
        <v>22.2</v>
      </c>
      <c r="G866">
        <v>-97.85</v>
      </c>
      <c r="H866">
        <v>-6</v>
      </c>
      <c r="I866">
        <v>25</v>
      </c>
      <c r="J866" t="str">
        <f>HYPERLINK("https://climate.onebuilding.org/WMO_Region_4_North_and_Central_America/MEX_Mexico/TAM_Tamaulipas/MEX_TAM_Tampico.765480_TMYx.2007-2021.zip")</f>
        <v>https://climate.onebuilding.org/WMO_Region_4_North_and_Central_America/MEX_Mexico/TAM_Tamaulipas/MEX_TAM_Tampico.765480_TMYx.2007-2021.zip</v>
      </c>
    </row>
    <row r="867" spans="1:10" x14ac:dyDescent="0.25">
      <c r="A867" t="s">
        <v>399</v>
      </c>
      <c r="B867" t="s">
        <v>450</v>
      </c>
      <c r="C867" t="s">
        <v>531</v>
      </c>
      <c r="D867">
        <v>765480</v>
      </c>
      <c r="E867" t="s">
        <v>10</v>
      </c>
      <c r="F867">
        <v>22.2</v>
      </c>
      <c r="G867">
        <v>-97.85</v>
      </c>
      <c r="H867">
        <v>-6</v>
      </c>
      <c r="I867">
        <v>25</v>
      </c>
      <c r="J867" t="str">
        <f>HYPERLINK("https://climate.onebuilding.org/WMO_Region_4_North_and_Central_America/MEX_Mexico/TAM_Tamaulipas/MEX_TAM_Tampico.765480_TMYx.2009-2023.zip")</f>
        <v>https://climate.onebuilding.org/WMO_Region_4_North_and_Central_America/MEX_Mexico/TAM_Tamaulipas/MEX_TAM_Tampico.765480_TMYx.2009-2023.zip</v>
      </c>
    </row>
    <row r="868" spans="1:10" x14ac:dyDescent="0.25">
      <c r="A868" t="s">
        <v>399</v>
      </c>
      <c r="B868" t="s">
        <v>450</v>
      </c>
      <c r="C868" t="s">
        <v>531</v>
      </c>
      <c r="D868">
        <v>765480</v>
      </c>
      <c r="E868" t="s">
        <v>10</v>
      </c>
      <c r="F868">
        <v>22.2</v>
      </c>
      <c r="G868">
        <v>-97.85</v>
      </c>
      <c r="H868">
        <v>-6</v>
      </c>
      <c r="I868">
        <v>25</v>
      </c>
      <c r="J868" t="str">
        <f>HYPERLINK("https://climate.onebuilding.org/WMO_Region_4_North_and_Central_America/MEX_Mexico/TAM_Tamaulipas/MEX_TAM_Tampico.765480_TMYx.zip")</f>
        <v>https://climate.onebuilding.org/WMO_Region_4_North_and_Central_America/MEX_Mexico/TAM_Tamaulipas/MEX_TAM_Tampico.765480_TMYx.zip</v>
      </c>
    </row>
    <row r="869" spans="1:10" x14ac:dyDescent="0.25">
      <c r="A869" t="s">
        <v>399</v>
      </c>
      <c r="B869" t="s">
        <v>450</v>
      </c>
      <c r="C869" t="s">
        <v>533</v>
      </c>
      <c r="D869">
        <v>765493</v>
      </c>
      <c r="E869" t="s">
        <v>534</v>
      </c>
      <c r="F869">
        <v>22.295999999999999</v>
      </c>
      <c r="G869">
        <v>-97.866</v>
      </c>
      <c r="H869">
        <v>-6</v>
      </c>
      <c r="I869">
        <v>24.4</v>
      </c>
      <c r="J869" t="str">
        <f>HYPERLINK("https://climate.onebuilding.org/WMO_Region_4_North_and_Central_America/MEX_Mexico/TAM_Tamaulipas/MEX_TAM_Tampico-Mina.Intl.AP.765493_TMYx.2004-2018.zip")</f>
        <v>https://climate.onebuilding.org/WMO_Region_4_North_and_Central_America/MEX_Mexico/TAM_Tamaulipas/MEX_TAM_Tampico-Mina.Intl.AP.765493_TMYx.2004-2018.zip</v>
      </c>
    </row>
    <row r="870" spans="1:10" x14ac:dyDescent="0.25">
      <c r="A870" t="s">
        <v>399</v>
      </c>
      <c r="B870" t="s">
        <v>450</v>
      </c>
      <c r="C870" t="s">
        <v>533</v>
      </c>
      <c r="D870">
        <v>765493</v>
      </c>
      <c r="E870" t="s">
        <v>10</v>
      </c>
      <c r="F870">
        <v>22.295999999999999</v>
      </c>
      <c r="G870">
        <v>-97.866</v>
      </c>
      <c r="H870">
        <v>-6</v>
      </c>
      <c r="I870">
        <v>24.4</v>
      </c>
      <c r="J870" t="str">
        <f>HYPERLINK("https://climate.onebuilding.org/WMO_Region_4_North_and_Central_America/MEX_Mexico/TAM_Tamaulipas/MEX_TAM_Tampico-Mina.Intl.AP.765493_TMYx.2007-2021.zip")</f>
        <v>https://climate.onebuilding.org/WMO_Region_4_North_and_Central_America/MEX_Mexico/TAM_Tamaulipas/MEX_TAM_Tampico-Mina.Intl.AP.765493_TMYx.2007-2021.zip</v>
      </c>
    </row>
    <row r="871" spans="1:10" x14ac:dyDescent="0.25">
      <c r="A871" t="s">
        <v>399</v>
      </c>
      <c r="B871" t="s">
        <v>450</v>
      </c>
      <c r="C871" t="s">
        <v>533</v>
      </c>
      <c r="D871">
        <v>765493</v>
      </c>
      <c r="E871" t="s">
        <v>10</v>
      </c>
      <c r="F871">
        <v>22.295999999999999</v>
      </c>
      <c r="G871">
        <v>-97.866</v>
      </c>
      <c r="H871">
        <v>-6</v>
      </c>
      <c r="I871">
        <v>24.4</v>
      </c>
      <c r="J871" t="str">
        <f>HYPERLINK("https://climate.onebuilding.org/WMO_Region_4_North_and_Central_America/MEX_Mexico/TAM_Tamaulipas/MEX_TAM_Tampico-Mina.Intl.AP.765493_TMYx.2009-2023.zip")</f>
        <v>https://climate.onebuilding.org/WMO_Region_4_North_and_Central_America/MEX_Mexico/TAM_Tamaulipas/MEX_TAM_Tampico-Mina.Intl.AP.765493_TMYx.2009-2023.zip</v>
      </c>
    </row>
    <row r="872" spans="1:10" x14ac:dyDescent="0.25">
      <c r="A872" t="s">
        <v>399</v>
      </c>
      <c r="B872" t="s">
        <v>450</v>
      </c>
      <c r="C872" t="s">
        <v>533</v>
      </c>
      <c r="D872">
        <v>765493</v>
      </c>
      <c r="E872" t="s">
        <v>10</v>
      </c>
      <c r="F872">
        <v>22.295999999999999</v>
      </c>
      <c r="G872">
        <v>-97.866</v>
      </c>
      <c r="H872">
        <v>-6</v>
      </c>
      <c r="I872">
        <v>24.4</v>
      </c>
      <c r="J872" t="str">
        <f>HYPERLINK("https://climate.onebuilding.org/WMO_Region_4_North_and_Central_America/MEX_Mexico/TAM_Tamaulipas/MEX_TAM_Tampico-Mina.Intl.AP.765493_TMYx.zip")</f>
        <v>https://climate.onebuilding.org/WMO_Region_4_North_and_Central_America/MEX_Mexico/TAM_Tamaulipas/MEX_TAM_Tampico-Mina.Intl.AP.765493_TMYx.zip</v>
      </c>
    </row>
    <row r="873" spans="1:10" x14ac:dyDescent="0.25">
      <c r="A873" t="s">
        <v>399</v>
      </c>
      <c r="B873" t="s">
        <v>535</v>
      </c>
      <c r="C873" t="s">
        <v>536</v>
      </c>
      <c r="D873">
        <v>765510</v>
      </c>
      <c r="E873" t="s">
        <v>18</v>
      </c>
      <c r="F873">
        <v>21.533000000000001</v>
      </c>
      <c r="G873">
        <v>-106.633</v>
      </c>
      <c r="H873">
        <v>-7</v>
      </c>
      <c r="I873">
        <v>4</v>
      </c>
      <c r="J873" t="str">
        <f>HYPERLINK("https://climate.onebuilding.org/WMO_Region_4_North_and_Central_America/MEX_Mexico/NAY_Nayarit/MEX_NAY_Isla.Marias.765510_TMYx.2007-2021.zip")</f>
        <v>https://climate.onebuilding.org/WMO_Region_4_North_and_Central_America/MEX_Mexico/NAY_Nayarit/MEX_NAY_Isla.Marias.765510_TMYx.2007-2021.zip</v>
      </c>
    </row>
    <row r="874" spans="1:10" x14ac:dyDescent="0.25">
      <c r="A874" t="s">
        <v>399</v>
      </c>
      <c r="B874" t="s">
        <v>535</v>
      </c>
      <c r="C874" t="s">
        <v>536</v>
      </c>
      <c r="D874">
        <v>765510</v>
      </c>
      <c r="E874" t="s">
        <v>18</v>
      </c>
      <c r="F874">
        <v>21.533000000000001</v>
      </c>
      <c r="G874">
        <v>-106.633</v>
      </c>
      <c r="H874">
        <v>-7</v>
      </c>
      <c r="I874">
        <v>4</v>
      </c>
      <c r="J874" t="str">
        <f>HYPERLINK("https://climate.onebuilding.org/WMO_Region_4_North_and_Central_America/MEX_Mexico/NAY_Nayarit/MEX_NAY_Isla.Marias.765510_TMYx.2009-2023.zip")</f>
        <v>https://climate.onebuilding.org/WMO_Region_4_North_and_Central_America/MEX_Mexico/NAY_Nayarit/MEX_NAY_Isla.Marias.765510_TMYx.2009-2023.zip</v>
      </c>
    </row>
    <row r="875" spans="1:10" x14ac:dyDescent="0.25">
      <c r="A875" t="s">
        <v>399</v>
      </c>
      <c r="B875" t="s">
        <v>535</v>
      </c>
      <c r="C875" t="s">
        <v>536</v>
      </c>
      <c r="D875">
        <v>765510</v>
      </c>
      <c r="E875" t="s">
        <v>18</v>
      </c>
      <c r="F875">
        <v>21.533000000000001</v>
      </c>
      <c r="G875">
        <v>-106.633</v>
      </c>
      <c r="H875">
        <v>-7</v>
      </c>
      <c r="I875">
        <v>4</v>
      </c>
      <c r="J875" t="str">
        <f>HYPERLINK("https://climate.onebuilding.org/WMO_Region_4_North_and_Central_America/MEX_Mexico/NAY_Nayarit/MEX_NAY_Isla.Marias.765510_TMYx.zip")</f>
        <v>https://climate.onebuilding.org/WMO_Region_4_North_and_Central_America/MEX_Mexico/NAY_Nayarit/MEX_NAY_Isla.Marias.765510_TMYx.zip</v>
      </c>
    </row>
    <row r="876" spans="1:10" x14ac:dyDescent="0.25">
      <c r="A876" t="s">
        <v>399</v>
      </c>
      <c r="B876" t="s">
        <v>535</v>
      </c>
      <c r="C876" t="s">
        <v>537</v>
      </c>
      <c r="D876">
        <v>765560</v>
      </c>
      <c r="E876" t="s">
        <v>538</v>
      </c>
      <c r="F876">
        <v>21.419</v>
      </c>
      <c r="G876">
        <v>-104.843</v>
      </c>
      <c r="H876">
        <v>-7</v>
      </c>
      <c r="I876">
        <v>920.5</v>
      </c>
      <c r="J876" t="str">
        <f>HYPERLINK("https://climate.onebuilding.org/WMO_Region_4_North_and_Central_America/MEX_Mexico/NAY_Nayarit/MEX_NAY_Tepic.765560_TMYx.2004-2018.zip")</f>
        <v>https://climate.onebuilding.org/WMO_Region_4_North_and_Central_America/MEX_Mexico/NAY_Nayarit/MEX_NAY_Tepic.765560_TMYx.2004-2018.zip</v>
      </c>
    </row>
    <row r="877" spans="1:10" x14ac:dyDescent="0.25">
      <c r="A877" t="s">
        <v>399</v>
      </c>
      <c r="B877" t="s">
        <v>535</v>
      </c>
      <c r="C877" t="s">
        <v>537</v>
      </c>
      <c r="D877">
        <v>765560</v>
      </c>
      <c r="E877" t="s">
        <v>10</v>
      </c>
      <c r="F877">
        <v>21.518899999999999</v>
      </c>
      <c r="G877">
        <v>-104.8839</v>
      </c>
      <c r="H877">
        <v>-7</v>
      </c>
      <c r="I877">
        <v>915</v>
      </c>
      <c r="J877" t="str">
        <f>HYPERLINK("https://climate.onebuilding.org/WMO_Region_4_North_and_Central_America/MEX_Mexico/NAY_Nayarit/MEX_NAY_Tepic.765560_TMYx.2007-2021.zip")</f>
        <v>https://climate.onebuilding.org/WMO_Region_4_North_and_Central_America/MEX_Mexico/NAY_Nayarit/MEX_NAY_Tepic.765560_TMYx.2007-2021.zip</v>
      </c>
    </row>
    <row r="878" spans="1:10" x14ac:dyDescent="0.25">
      <c r="A878" t="s">
        <v>399</v>
      </c>
      <c r="B878" t="s">
        <v>535</v>
      </c>
      <c r="C878" t="s">
        <v>537</v>
      </c>
      <c r="D878">
        <v>765560</v>
      </c>
      <c r="E878" t="s">
        <v>10</v>
      </c>
      <c r="F878">
        <v>21.518899999999999</v>
      </c>
      <c r="G878">
        <v>-104.8839</v>
      </c>
      <c r="H878">
        <v>-7</v>
      </c>
      <c r="I878">
        <v>915</v>
      </c>
      <c r="J878" t="str">
        <f>HYPERLINK("https://climate.onebuilding.org/WMO_Region_4_North_and_Central_America/MEX_Mexico/NAY_Nayarit/MEX_NAY_Tepic.765560_TMYx.2009-2023.zip")</f>
        <v>https://climate.onebuilding.org/WMO_Region_4_North_and_Central_America/MEX_Mexico/NAY_Nayarit/MEX_NAY_Tepic.765560_TMYx.2009-2023.zip</v>
      </c>
    </row>
    <row r="879" spans="1:10" x14ac:dyDescent="0.25">
      <c r="A879" t="s">
        <v>399</v>
      </c>
      <c r="B879" t="s">
        <v>535</v>
      </c>
      <c r="C879" t="s">
        <v>537</v>
      </c>
      <c r="D879">
        <v>765560</v>
      </c>
      <c r="E879" t="s">
        <v>10</v>
      </c>
      <c r="F879">
        <v>21.518899999999999</v>
      </c>
      <c r="G879">
        <v>-104.8839</v>
      </c>
      <c r="H879">
        <v>-7</v>
      </c>
      <c r="I879">
        <v>915</v>
      </c>
      <c r="J879" t="str">
        <f>HYPERLINK("https://climate.onebuilding.org/WMO_Region_4_North_and_Central_America/MEX_Mexico/NAY_Nayarit/MEX_NAY_Tepic.765560_TMYx.zip")</f>
        <v>https://climate.onebuilding.org/WMO_Region_4_North_and_Central_America/MEX_Mexico/NAY_Nayarit/MEX_NAY_Tepic.765560_TMYx.zip</v>
      </c>
    </row>
    <row r="880" spans="1:10" x14ac:dyDescent="0.25">
      <c r="A880" t="s">
        <v>399</v>
      </c>
      <c r="B880" t="s">
        <v>539</v>
      </c>
      <c r="C880" t="s">
        <v>540</v>
      </c>
      <c r="D880">
        <v>765700</v>
      </c>
      <c r="E880" t="s">
        <v>18</v>
      </c>
      <c r="F880">
        <v>21.466999999999999</v>
      </c>
      <c r="G880">
        <v>-97.2</v>
      </c>
      <c r="H880">
        <v>-6</v>
      </c>
      <c r="I880">
        <v>5</v>
      </c>
      <c r="J880" t="str">
        <f>HYPERLINK("https://climate.onebuilding.org/WMO_Region_4_North_and_Central_America/MEX_Mexico/AGU_Aguascalientes/MEX_AGU_Isla.Lobos.765700_TMYx.2007-2021.zip")</f>
        <v>https://climate.onebuilding.org/WMO_Region_4_North_and_Central_America/MEX_Mexico/AGU_Aguascalientes/MEX_AGU_Isla.Lobos.765700_TMYx.2007-2021.zip</v>
      </c>
    </row>
    <row r="881" spans="1:10" x14ac:dyDescent="0.25">
      <c r="A881" t="s">
        <v>399</v>
      </c>
      <c r="B881" t="s">
        <v>539</v>
      </c>
      <c r="C881" t="s">
        <v>540</v>
      </c>
      <c r="D881">
        <v>765700</v>
      </c>
      <c r="E881" t="s">
        <v>18</v>
      </c>
      <c r="F881">
        <v>21.466999999999999</v>
      </c>
      <c r="G881">
        <v>-97.2</v>
      </c>
      <c r="H881">
        <v>-6</v>
      </c>
      <c r="I881">
        <v>5</v>
      </c>
      <c r="J881" t="str">
        <f>HYPERLINK("https://climate.onebuilding.org/WMO_Region_4_North_and_Central_America/MEX_Mexico/AGU_Aguascalientes/MEX_AGU_Isla.Lobos.765700_TMYx.2009-2023.zip")</f>
        <v>https://climate.onebuilding.org/WMO_Region_4_North_and_Central_America/MEX_Mexico/AGU_Aguascalientes/MEX_AGU_Isla.Lobos.765700_TMYx.2009-2023.zip</v>
      </c>
    </row>
    <row r="882" spans="1:10" x14ac:dyDescent="0.25">
      <c r="A882" t="s">
        <v>399</v>
      </c>
      <c r="B882" t="s">
        <v>539</v>
      </c>
      <c r="C882" t="s">
        <v>540</v>
      </c>
      <c r="D882">
        <v>765700</v>
      </c>
      <c r="E882" t="s">
        <v>18</v>
      </c>
      <c r="F882">
        <v>21.466999999999999</v>
      </c>
      <c r="G882">
        <v>-97.2</v>
      </c>
      <c r="H882">
        <v>-6</v>
      </c>
      <c r="I882">
        <v>5</v>
      </c>
      <c r="J882" t="str">
        <f>HYPERLINK("https://climate.onebuilding.org/WMO_Region_4_North_and_Central_America/MEX_Mexico/AGU_Aguascalientes/MEX_AGU_Isla.Lobos.765700_TMYx.zip")</f>
        <v>https://climate.onebuilding.org/WMO_Region_4_North_and_Central_America/MEX_Mexico/AGU_Aguascalientes/MEX_AGU_Isla.Lobos.765700_TMYx.zip</v>
      </c>
    </row>
    <row r="883" spans="1:10" x14ac:dyDescent="0.25">
      <c r="A883" t="s">
        <v>399</v>
      </c>
      <c r="B883" t="s">
        <v>539</v>
      </c>
      <c r="C883" t="s">
        <v>541</v>
      </c>
      <c r="D883">
        <v>765710</v>
      </c>
      <c r="E883" t="s">
        <v>542</v>
      </c>
      <c r="F883">
        <v>21.704999999999998</v>
      </c>
      <c r="G883">
        <v>-102.318</v>
      </c>
      <c r="H883">
        <v>-6</v>
      </c>
      <c r="I883">
        <v>1862.9</v>
      </c>
      <c r="J883" t="str">
        <f>HYPERLINK("https://climate.onebuilding.org/WMO_Region_4_North_and_Central_America/MEX_Mexico/AGU_Aguascalientes/MEX_AGU_Aguascalientes.765710_TMYx.2004-2018.zip")</f>
        <v>https://climate.onebuilding.org/WMO_Region_4_North_and_Central_America/MEX_Mexico/AGU_Aguascalientes/MEX_AGU_Aguascalientes.765710_TMYx.2004-2018.zip</v>
      </c>
    </row>
    <row r="884" spans="1:10" x14ac:dyDescent="0.25">
      <c r="A884" t="s">
        <v>399</v>
      </c>
      <c r="B884" t="s">
        <v>539</v>
      </c>
      <c r="C884" t="s">
        <v>541</v>
      </c>
      <c r="D884">
        <v>765710</v>
      </c>
      <c r="E884" t="s">
        <v>10</v>
      </c>
      <c r="F884">
        <v>21.851099999999999</v>
      </c>
      <c r="G884">
        <v>-102.2911</v>
      </c>
      <c r="H884">
        <v>-6</v>
      </c>
      <c r="I884">
        <v>1877</v>
      </c>
      <c r="J884" t="str">
        <f>HYPERLINK("https://climate.onebuilding.org/WMO_Region_4_North_and_Central_America/MEX_Mexico/AGU_Aguascalientes/MEX_AGU_Aguascalientes.765710_TMYx.2007-2021.zip")</f>
        <v>https://climate.onebuilding.org/WMO_Region_4_North_and_Central_America/MEX_Mexico/AGU_Aguascalientes/MEX_AGU_Aguascalientes.765710_TMYx.2007-2021.zip</v>
      </c>
    </row>
    <row r="885" spans="1:10" x14ac:dyDescent="0.25">
      <c r="A885" t="s">
        <v>399</v>
      </c>
      <c r="B885" t="s">
        <v>539</v>
      </c>
      <c r="C885" t="s">
        <v>541</v>
      </c>
      <c r="D885">
        <v>765710</v>
      </c>
      <c r="E885" t="s">
        <v>10</v>
      </c>
      <c r="F885">
        <v>21.851099999999999</v>
      </c>
      <c r="G885">
        <v>-102.2911</v>
      </c>
      <c r="H885">
        <v>-6</v>
      </c>
      <c r="I885">
        <v>1877</v>
      </c>
      <c r="J885" t="str">
        <f>HYPERLINK("https://climate.onebuilding.org/WMO_Region_4_North_and_Central_America/MEX_Mexico/AGU_Aguascalientes/MEX_AGU_Aguascalientes.765710_TMYx.2009-2023.zip")</f>
        <v>https://climate.onebuilding.org/WMO_Region_4_North_and_Central_America/MEX_Mexico/AGU_Aguascalientes/MEX_AGU_Aguascalientes.765710_TMYx.2009-2023.zip</v>
      </c>
    </row>
    <row r="886" spans="1:10" x14ac:dyDescent="0.25">
      <c r="A886" t="s">
        <v>399</v>
      </c>
      <c r="B886" t="s">
        <v>539</v>
      </c>
      <c r="C886" t="s">
        <v>541</v>
      </c>
      <c r="D886">
        <v>765710</v>
      </c>
      <c r="E886" t="s">
        <v>10</v>
      </c>
      <c r="F886">
        <v>21.851099999999999</v>
      </c>
      <c r="G886">
        <v>-102.2911</v>
      </c>
      <c r="H886">
        <v>-6</v>
      </c>
      <c r="I886">
        <v>1877</v>
      </c>
      <c r="J886" t="str">
        <f>HYPERLINK("https://climate.onebuilding.org/WMO_Region_4_North_and_Central_America/MEX_Mexico/AGU_Aguascalientes/MEX_AGU_Aguascalientes.765710_TMYx.zip")</f>
        <v>https://climate.onebuilding.org/WMO_Region_4_North_and_Central_America/MEX_Mexico/AGU_Aguascalientes/MEX_AGU_Aguascalientes.765710_TMYx.zip</v>
      </c>
    </row>
    <row r="887" spans="1:10" x14ac:dyDescent="0.25">
      <c r="A887" t="s">
        <v>399</v>
      </c>
      <c r="B887" t="s">
        <v>518</v>
      </c>
      <c r="C887" t="s">
        <v>543</v>
      </c>
      <c r="D887">
        <v>765730</v>
      </c>
      <c r="E887" t="s">
        <v>10</v>
      </c>
      <c r="F887">
        <v>21.35</v>
      </c>
      <c r="G887">
        <v>-101.917</v>
      </c>
      <c r="H887">
        <v>-6</v>
      </c>
      <c r="I887">
        <v>1942</v>
      </c>
      <c r="J887" t="str">
        <f>HYPERLINK("https://climate.onebuilding.org/WMO_Region_4_North_and_Central_America/MEX_Mexico/JAL_Jalisco/MEX_JAL_Lagos.de.Moreno.765730_TMYx.2007-2021.zip")</f>
        <v>https://climate.onebuilding.org/WMO_Region_4_North_and_Central_America/MEX_Mexico/JAL_Jalisco/MEX_JAL_Lagos.de.Moreno.765730_TMYx.2007-2021.zip</v>
      </c>
    </row>
    <row r="888" spans="1:10" x14ac:dyDescent="0.25">
      <c r="A888" t="s">
        <v>399</v>
      </c>
      <c r="B888" t="s">
        <v>518</v>
      </c>
      <c r="C888" t="s">
        <v>543</v>
      </c>
      <c r="D888">
        <v>765730</v>
      </c>
      <c r="E888" t="s">
        <v>10</v>
      </c>
      <c r="F888">
        <v>21.35</v>
      </c>
      <c r="G888">
        <v>-101.917</v>
      </c>
      <c r="H888">
        <v>-6</v>
      </c>
      <c r="I888">
        <v>1942</v>
      </c>
      <c r="J888" t="str">
        <f>HYPERLINK("https://climate.onebuilding.org/WMO_Region_4_North_and_Central_America/MEX_Mexico/JAL_Jalisco/MEX_JAL_Lagos.de.Moreno.765730_TMYx.2009-2023.zip")</f>
        <v>https://climate.onebuilding.org/WMO_Region_4_North_and_Central_America/MEX_Mexico/JAL_Jalisco/MEX_JAL_Lagos.de.Moreno.765730_TMYx.2009-2023.zip</v>
      </c>
    </row>
    <row r="889" spans="1:10" x14ac:dyDescent="0.25">
      <c r="A889" t="s">
        <v>399</v>
      </c>
      <c r="B889" t="s">
        <v>518</v>
      </c>
      <c r="C889" t="s">
        <v>543</v>
      </c>
      <c r="D889">
        <v>765730</v>
      </c>
      <c r="E889" t="s">
        <v>10</v>
      </c>
      <c r="F889">
        <v>21.35</v>
      </c>
      <c r="G889">
        <v>-101.917</v>
      </c>
      <c r="H889">
        <v>-6</v>
      </c>
      <c r="I889">
        <v>1942</v>
      </c>
      <c r="J889" t="str">
        <f>HYPERLINK("https://climate.onebuilding.org/WMO_Region_4_North_and_Central_America/MEX_Mexico/JAL_Jalisco/MEX_JAL_Lagos.de.Moreno.765730_TMYx.zip")</f>
        <v>https://climate.onebuilding.org/WMO_Region_4_North_and_Central_America/MEX_Mexico/JAL_Jalisco/MEX_JAL_Lagos.de.Moreno.765730_TMYx.zip</v>
      </c>
    </row>
    <row r="890" spans="1:10" x14ac:dyDescent="0.25">
      <c r="A890" t="s">
        <v>399</v>
      </c>
      <c r="B890" t="s">
        <v>544</v>
      </c>
      <c r="C890" t="s">
        <v>545</v>
      </c>
      <c r="D890">
        <v>765752</v>
      </c>
      <c r="E890" t="s">
        <v>10</v>
      </c>
      <c r="F890">
        <v>21.067</v>
      </c>
      <c r="G890">
        <v>-101.55</v>
      </c>
      <c r="H890">
        <v>-6</v>
      </c>
      <c r="I890">
        <v>1829</v>
      </c>
      <c r="J890" t="str">
        <f>HYPERLINK("https://climate.onebuilding.org/WMO_Region_4_North_and_Central_America/MEX_Mexico/GUA_Guanajuato/MEX_GUA_Leon-San.Carlos.AP.765752_TMYx.zip")</f>
        <v>https://climate.onebuilding.org/WMO_Region_4_North_and_Central_America/MEX_Mexico/GUA_Guanajuato/MEX_GUA_Leon-San.Carlos.AP.765752_TMYx.zip</v>
      </c>
    </row>
    <row r="891" spans="1:10" x14ac:dyDescent="0.25">
      <c r="A891" t="s">
        <v>399</v>
      </c>
      <c r="B891" t="s">
        <v>544</v>
      </c>
      <c r="C891" t="s">
        <v>546</v>
      </c>
      <c r="D891">
        <v>765770</v>
      </c>
      <c r="E891" t="s">
        <v>547</v>
      </c>
      <c r="F891">
        <v>21</v>
      </c>
      <c r="G891">
        <v>-101.283</v>
      </c>
      <c r="H891">
        <v>-6</v>
      </c>
      <c r="I891">
        <v>1999</v>
      </c>
      <c r="J891" t="str">
        <f>HYPERLINK("https://climate.onebuilding.org/WMO_Region_4_North_and_Central_America/MEX_Mexico/GUA_Guanajuato/MEX_GUA_Guanajuato.765770_TMYx.2004-2018.zip")</f>
        <v>https://climate.onebuilding.org/WMO_Region_4_North_and_Central_America/MEX_Mexico/GUA_Guanajuato/MEX_GUA_Guanajuato.765770_TMYx.2004-2018.zip</v>
      </c>
    </row>
    <row r="892" spans="1:10" x14ac:dyDescent="0.25">
      <c r="A892" t="s">
        <v>399</v>
      </c>
      <c r="B892" t="s">
        <v>544</v>
      </c>
      <c r="C892" t="s">
        <v>546</v>
      </c>
      <c r="D892">
        <v>765770</v>
      </c>
      <c r="E892" t="s">
        <v>10</v>
      </c>
      <c r="F892">
        <v>21.013999999999999</v>
      </c>
      <c r="G892">
        <v>-101.26600000000001</v>
      </c>
      <c r="H892">
        <v>-6</v>
      </c>
      <c r="I892">
        <v>1999</v>
      </c>
      <c r="J892" t="str">
        <f>HYPERLINK("https://climate.onebuilding.org/WMO_Region_4_North_and_Central_America/MEX_Mexico/GUA_Guanajuato/MEX_GUA_Guanajuato.765770_TMYx.2007-2021.zip")</f>
        <v>https://climate.onebuilding.org/WMO_Region_4_North_and_Central_America/MEX_Mexico/GUA_Guanajuato/MEX_GUA_Guanajuato.765770_TMYx.2007-2021.zip</v>
      </c>
    </row>
    <row r="893" spans="1:10" x14ac:dyDescent="0.25">
      <c r="A893" t="s">
        <v>399</v>
      </c>
      <c r="B893" t="s">
        <v>544</v>
      </c>
      <c r="C893" t="s">
        <v>546</v>
      </c>
      <c r="D893">
        <v>765770</v>
      </c>
      <c r="E893" t="s">
        <v>10</v>
      </c>
      <c r="F893">
        <v>21.013999999999999</v>
      </c>
      <c r="G893">
        <v>-101.26600000000001</v>
      </c>
      <c r="H893">
        <v>-6</v>
      </c>
      <c r="I893">
        <v>1999</v>
      </c>
      <c r="J893" t="str">
        <f>HYPERLINK("https://climate.onebuilding.org/WMO_Region_4_North_and_Central_America/MEX_Mexico/GUA_Guanajuato/MEX_GUA_Guanajuato.765770_TMYx.2009-2023.zip")</f>
        <v>https://climate.onebuilding.org/WMO_Region_4_North_and_Central_America/MEX_Mexico/GUA_Guanajuato/MEX_GUA_Guanajuato.765770_TMYx.2009-2023.zip</v>
      </c>
    </row>
    <row r="894" spans="1:10" x14ac:dyDescent="0.25">
      <c r="A894" t="s">
        <v>399</v>
      </c>
      <c r="B894" t="s">
        <v>544</v>
      </c>
      <c r="C894" t="s">
        <v>546</v>
      </c>
      <c r="D894">
        <v>765770</v>
      </c>
      <c r="E894" t="s">
        <v>10</v>
      </c>
      <c r="F894">
        <v>21.013999999999999</v>
      </c>
      <c r="G894">
        <v>-101.26600000000001</v>
      </c>
      <c r="H894">
        <v>-6</v>
      </c>
      <c r="I894">
        <v>1999</v>
      </c>
      <c r="J894" t="str">
        <f>HYPERLINK("https://climate.onebuilding.org/WMO_Region_4_North_and_Central_America/MEX_Mexico/GUA_Guanajuato/MEX_GUA_Guanajuato.765770_TMYx.zip")</f>
        <v>https://climate.onebuilding.org/WMO_Region_4_North_and_Central_America/MEX_Mexico/GUA_Guanajuato/MEX_GUA_Guanajuato.765770_TMYx.zip</v>
      </c>
    </row>
    <row r="895" spans="1:10" x14ac:dyDescent="0.25">
      <c r="A895" t="s">
        <v>399</v>
      </c>
      <c r="B895" t="s">
        <v>544</v>
      </c>
      <c r="C895" t="s">
        <v>548</v>
      </c>
      <c r="D895">
        <v>765773</v>
      </c>
      <c r="E895" t="s">
        <v>549</v>
      </c>
      <c r="F895">
        <v>20.983000000000001</v>
      </c>
      <c r="G895">
        <v>-101.483</v>
      </c>
      <c r="H895">
        <v>-6</v>
      </c>
      <c r="I895">
        <v>1815.4</v>
      </c>
      <c r="J895" t="str">
        <f>HYPERLINK("https://climate.onebuilding.org/WMO_Region_4_North_and_Central_America/MEX_Mexico/GUA_Guanajuato/MEX_GUA_Guanajuato.Intl.AP.765773_TMYx.2004-2018.zip")</f>
        <v>https://climate.onebuilding.org/WMO_Region_4_North_and_Central_America/MEX_Mexico/GUA_Guanajuato/MEX_GUA_Guanajuato.Intl.AP.765773_TMYx.2004-2018.zip</v>
      </c>
    </row>
    <row r="896" spans="1:10" x14ac:dyDescent="0.25">
      <c r="A896" t="s">
        <v>399</v>
      </c>
      <c r="B896" t="s">
        <v>544</v>
      </c>
      <c r="C896" t="s">
        <v>548</v>
      </c>
      <c r="D896">
        <v>765773</v>
      </c>
      <c r="E896" t="s">
        <v>10</v>
      </c>
      <c r="F896">
        <v>20.983000000000001</v>
      </c>
      <c r="G896">
        <v>-101.483</v>
      </c>
      <c r="H896">
        <v>-6</v>
      </c>
      <c r="I896">
        <v>1815.4</v>
      </c>
      <c r="J896" t="str">
        <f>HYPERLINK("https://climate.onebuilding.org/WMO_Region_4_North_and_Central_America/MEX_Mexico/GUA_Guanajuato/MEX_GUA_Guanajuato.Intl.AP.765773_TMYx.2007-2021.zip")</f>
        <v>https://climate.onebuilding.org/WMO_Region_4_North_and_Central_America/MEX_Mexico/GUA_Guanajuato/MEX_GUA_Guanajuato.Intl.AP.765773_TMYx.2007-2021.zip</v>
      </c>
    </row>
    <row r="897" spans="1:10" x14ac:dyDescent="0.25">
      <c r="A897" t="s">
        <v>399</v>
      </c>
      <c r="B897" t="s">
        <v>544</v>
      </c>
      <c r="C897" t="s">
        <v>548</v>
      </c>
      <c r="D897">
        <v>765773</v>
      </c>
      <c r="E897" t="s">
        <v>10</v>
      </c>
      <c r="F897">
        <v>20.983000000000001</v>
      </c>
      <c r="G897">
        <v>-101.483</v>
      </c>
      <c r="H897">
        <v>-6</v>
      </c>
      <c r="I897">
        <v>1815.4</v>
      </c>
      <c r="J897" t="str">
        <f>HYPERLINK("https://climate.onebuilding.org/WMO_Region_4_North_and_Central_America/MEX_Mexico/GUA_Guanajuato/MEX_GUA_Guanajuato.Intl.AP.765773_TMYx.2009-2023.zip")</f>
        <v>https://climate.onebuilding.org/WMO_Region_4_North_and_Central_America/MEX_Mexico/GUA_Guanajuato/MEX_GUA_Guanajuato.Intl.AP.765773_TMYx.2009-2023.zip</v>
      </c>
    </row>
    <row r="898" spans="1:10" x14ac:dyDescent="0.25">
      <c r="A898" t="s">
        <v>399</v>
      </c>
      <c r="B898" t="s">
        <v>544</v>
      </c>
      <c r="C898" t="s">
        <v>548</v>
      </c>
      <c r="D898">
        <v>765773</v>
      </c>
      <c r="E898" t="s">
        <v>10</v>
      </c>
      <c r="F898">
        <v>20.983000000000001</v>
      </c>
      <c r="G898">
        <v>-101.483</v>
      </c>
      <c r="H898">
        <v>-6</v>
      </c>
      <c r="I898">
        <v>1815.4</v>
      </c>
      <c r="J898" t="str">
        <f>HYPERLINK("https://climate.onebuilding.org/WMO_Region_4_North_and_Central_America/MEX_Mexico/GUA_Guanajuato/MEX_GUA_Guanajuato.Intl.AP.765773_TMYx.zip")</f>
        <v>https://climate.onebuilding.org/WMO_Region_4_North_and_Central_America/MEX_Mexico/GUA_Guanajuato/MEX_GUA_Guanajuato.Intl.AP.765773_TMYx.zip</v>
      </c>
    </row>
    <row r="899" spans="1:10" x14ac:dyDescent="0.25">
      <c r="A899" t="s">
        <v>399</v>
      </c>
      <c r="B899" t="s">
        <v>509</v>
      </c>
      <c r="C899" t="s">
        <v>550</v>
      </c>
      <c r="D899">
        <v>765800</v>
      </c>
      <c r="E899" t="s">
        <v>18</v>
      </c>
      <c r="F899">
        <v>22.11497</v>
      </c>
      <c r="G899">
        <v>-91.397909999999996</v>
      </c>
      <c r="H899">
        <v>-6</v>
      </c>
      <c r="I899">
        <v>3</v>
      </c>
      <c r="J899" t="str">
        <f>HYPERLINK("https://climate.onebuilding.org/WMO_Region_4_North_and_Central_America/MEX_Mexico/YUC_Yucatan/MEX_YUC_Cayo.Arenas.Lighthouse.765800_TMYx.2007-2021.zip")</f>
        <v>https://climate.onebuilding.org/WMO_Region_4_North_and_Central_America/MEX_Mexico/YUC_Yucatan/MEX_YUC_Cayo.Arenas.Lighthouse.765800_TMYx.2007-2021.zip</v>
      </c>
    </row>
    <row r="900" spans="1:10" x14ac:dyDescent="0.25">
      <c r="A900" t="s">
        <v>399</v>
      </c>
      <c r="B900" t="s">
        <v>509</v>
      </c>
      <c r="C900" t="s">
        <v>550</v>
      </c>
      <c r="D900">
        <v>765800</v>
      </c>
      <c r="E900" t="s">
        <v>18</v>
      </c>
      <c r="F900">
        <v>22.11497</v>
      </c>
      <c r="G900">
        <v>-91.397909999999996</v>
      </c>
      <c r="H900">
        <v>-6</v>
      </c>
      <c r="I900">
        <v>3</v>
      </c>
      <c r="J900" t="str">
        <f>HYPERLINK("https://climate.onebuilding.org/WMO_Region_4_North_and_Central_America/MEX_Mexico/YUC_Yucatan/MEX_YUC_Cayo.Arenas.Lighthouse.765800_TMYx.2009-2023.zip")</f>
        <v>https://climate.onebuilding.org/WMO_Region_4_North_and_Central_America/MEX_Mexico/YUC_Yucatan/MEX_YUC_Cayo.Arenas.Lighthouse.765800_TMYx.2009-2023.zip</v>
      </c>
    </row>
    <row r="901" spans="1:10" x14ac:dyDescent="0.25">
      <c r="A901" t="s">
        <v>399</v>
      </c>
      <c r="B901" t="s">
        <v>509</v>
      </c>
      <c r="C901" t="s">
        <v>550</v>
      </c>
      <c r="D901">
        <v>765800</v>
      </c>
      <c r="E901" t="s">
        <v>18</v>
      </c>
      <c r="F901">
        <v>22.11497</v>
      </c>
      <c r="G901">
        <v>-91.397909999999996</v>
      </c>
      <c r="H901">
        <v>-6</v>
      </c>
      <c r="I901">
        <v>3</v>
      </c>
      <c r="J901" t="str">
        <f>HYPERLINK("https://climate.onebuilding.org/WMO_Region_4_North_and_Central_America/MEX_Mexico/YUC_Yucatan/MEX_YUC_Cayo.Arenas.Lighthouse.765800_TMYx.zip")</f>
        <v>https://climate.onebuilding.org/WMO_Region_4_North_and_Central_America/MEX_Mexico/YUC_Yucatan/MEX_YUC_Cayo.Arenas.Lighthouse.765800_TMYx.zip</v>
      </c>
    </row>
    <row r="902" spans="1:10" x14ac:dyDescent="0.25">
      <c r="A902" t="s">
        <v>399</v>
      </c>
      <c r="B902" t="s">
        <v>526</v>
      </c>
      <c r="C902" t="s">
        <v>551</v>
      </c>
      <c r="D902">
        <v>765810</v>
      </c>
      <c r="E902" t="s">
        <v>552</v>
      </c>
      <c r="F902">
        <v>21.933</v>
      </c>
      <c r="G902">
        <v>-99.983000000000004</v>
      </c>
      <c r="H902">
        <v>-6</v>
      </c>
      <c r="I902">
        <v>983</v>
      </c>
      <c r="J902" t="str">
        <f>HYPERLINK("https://climate.onebuilding.org/WMO_Region_4_North_and_Central_America/MEX_Mexico/SLP_San_Luis_Potosi/MEX_SLP_Rioverde.765810_TMYx.2004-2018.zip")</f>
        <v>https://climate.onebuilding.org/WMO_Region_4_North_and_Central_America/MEX_Mexico/SLP_San_Luis_Potosi/MEX_SLP_Rioverde.765810_TMYx.2004-2018.zip</v>
      </c>
    </row>
    <row r="903" spans="1:10" x14ac:dyDescent="0.25">
      <c r="A903" t="s">
        <v>399</v>
      </c>
      <c r="B903" t="s">
        <v>526</v>
      </c>
      <c r="C903" t="s">
        <v>551</v>
      </c>
      <c r="D903">
        <v>765810</v>
      </c>
      <c r="E903" t="s">
        <v>10</v>
      </c>
      <c r="F903">
        <v>21.933</v>
      </c>
      <c r="G903">
        <v>-99.983000000000004</v>
      </c>
      <c r="H903">
        <v>-6</v>
      </c>
      <c r="I903">
        <v>983</v>
      </c>
      <c r="J903" t="str">
        <f>HYPERLINK("https://climate.onebuilding.org/WMO_Region_4_North_and_Central_America/MEX_Mexico/SLP_San_Luis_Potosi/MEX_SLP_Rioverde.765810_TMYx.2007-2021.zip")</f>
        <v>https://climate.onebuilding.org/WMO_Region_4_North_and_Central_America/MEX_Mexico/SLP_San_Luis_Potosi/MEX_SLP_Rioverde.765810_TMYx.2007-2021.zip</v>
      </c>
    </row>
    <row r="904" spans="1:10" x14ac:dyDescent="0.25">
      <c r="A904" t="s">
        <v>399</v>
      </c>
      <c r="B904" t="s">
        <v>526</v>
      </c>
      <c r="C904" t="s">
        <v>551</v>
      </c>
      <c r="D904">
        <v>765810</v>
      </c>
      <c r="E904" t="s">
        <v>10</v>
      </c>
      <c r="F904">
        <v>21.933</v>
      </c>
      <c r="G904">
        <v>-99.983000000000004</v>
      </c>
      <c r="H904">
        <v>-6</v>
      </c>
      <c r="I904">
        <v>983</v>
      </c>
      <c r="J904" t="str">
        <f>HYPERLINK("https://climate.onebuilding.org/WMO_Region_4_North_and_Central_America/MEX_Mexico/SLP_San_Luis_Potosi/MEX_SLP_Rioverde.765810_TMYx.2009-2023.zip")</f>
        <v>https://climate.onebuilding.org/WMO_Region_4_North_and_Central_America/MEX_Mexico/SLP_San_Luis_Potosi/MEX_SLP_Rioverde.765810_TMYx.2009-2023.zip</v>
      </c>
    </row>
    <row r="905" spans="1:10" x14ac:dyDescent="0.25">
      <c r="A905" t="s">
        <v>399</v>
      </c>
      <c r="B905" t="s">
        <v>526</v>
      </c>
      <c r="C905" t="s">
        <v>551</v>
      </c>
      <c r="D905">
        <v>765810</v>
      </c>
      <c r="E905" t="s">
        <v>10</v>
      </c>
      <c r="F905">
        <v>21.933</v>
      </c>
      <c r="G905">
        <v>-99.983000000000004</v>
      </c>
      <c r="H905">
        <v>-6</v>
      </c>
      <c r="I905">
        <v>983</v>
      </c>
      <c r="J905" t="str">
        <f>HYPERLINK("https://climate.onebuilding.org/WMO_Region_4_North_and_Central_America/MEX_Mexico/SLP_San_Luis_Potosi/MEX_SLP_Rioverde.765810_TMYx.zip")</f>
        <v>https://climate.onebuilding.org/WMO_Region_4_North_and_Central_America/MEX_Mexico/SLP_San_Luis_Potosi/MEX_SLP_Rioverde.765810_TMYx.zip</v>
      </c>
    </row>
    <row r="906" spans="1:10" x14ac:dyDescent="0.25">
      <c r="A906" t="s">
        <v>399</v>
      </c>
      <c r="B906" t="s">
        <v>553</v>
      </c>
      <c r="C906" t="s">
        <v>554</v>
      </c>
      <c r="D906">
        <v>765820</v>
      </c>
      <c r="E906" t="s">
        <v>18</v>
      </c>
      <c r="F906">
        <v>20.466999999999999</v>
      </c>
      <c r="G906">
        <v>-97.082999999999998</v>
      </c>
      <c r="H906">
        <v>-6</v>
      </c>
      <c r="I906">
        <v>20</v>
      </c>
      <c r="J906" t="str">
        <f>HYPERLINK("https://climate.onebuilding.org/WMO_Region_4_North_and_Central_America/MEX_Mexico/VER_Veracruz/MEX_VER_Gutierrez.Zamora.765820_TMYx.2007-2021.zip")</f>
        <v>https://climate.onebuilding.org/WMO_Region_4_North_and_Central_America/MEX_Mexico/VER_Veracruz/MEX_VER_Gutierrez.Zamora.765820_TMYx.2007-2021.zip</v>
      </c>
    </row>
    <row r="907" spans="1:10" x14ac:dyDescent="0.25">
      <c r="A907" t="s">
        <v>399</v>
      </c>
      <c r="B907" t="s">
        <v>553</v>
      </c>
      <c r="C907" t="s">
        <v>554</v>
      </c>
      <c r="D907">
        <v>765820</v>
      </c>
      <c r="E907" t="s">
        <v>18</v>
      </c>
      <c r="F907">
        <v>20.466999999999999</v>
      </c>
      <c r="G907">
        <v>-97.082999999999998</v>
      </c>
      <c r="H907">
        <v>-6</v>
      </c>
      <c r="I907">
        <v>20</v>
      </c>
      <c r="J907" t="str">
        <f>HYPERLINK("https://climate.onebuilding.org/WMO_Region_4_North_and_Central_America/MEX_Mexico/VER_Veracruz/MEX_VER_Gutierrez.Zamora.765820_TMYx.2009-2023.zip")</f>
        <v>https://climate.onebuilding.org/WMO_Region_4_North_and_Central_America/MEX_Mexico/VER_Veracruz/MEX_VER_Gutierrez.Zamora.765820_TMYx.2009-2023.zip</v>
      </c>
    </row>
    <row r="908" spans="1:10" x14ac:dyDescent="0.25">
      <c r="A908" t="s">
        <v>399</v>
      </c>
      <c r="B908" t="s">
        <v>553</v>
      </c>
      <c r="C908" t="s">
        <v>554</v>
      </c>
      <c r="D908">
        <v>765820</v>
      </c>
      <c r="E908" t="s">
        <v>18</v>
      </c>
      <c r="F908">
        <v>20.466999999999999</v>
      </c>
      <c r="G908">
        <v>-97.082999999999998</v>
      </c>
      <c r="H908">
        <v>-6</v>
      </c>
      <c r="I908">
        <v>20</v>
      </c>
      <c r="J908" t="str">
        <f>HYPERLINK("https://climate.onebuilding.org/WMO_Region_4_North_and_Central_America/MEX_Mexico/VER_Veracruz/MEX_VER_Gutierrez.Zamora.765820_TMYx.zip")</f>
        <v>https://climate.onebuilding.org/WMO_Region_4_North_and_Central_America/MEX_Mexico/VER_Veracruz/MEX_VER_Gutierrez.Zamora.765820_TMYx.zip</v>
      </c>
    </row>
    <row r="909" spans="1:10" x14ac:dyDescent="0.25">
      <c r="A909" t="s">
        <v>399</v>
      </c>
      <c r="B909" t="s">
        <v>553</v>
      </c>
      <c r="C909" t="s">
        <v>555</v>
      </c>
      <c r="D909">
        <v>765825</v>
      </c>
      <c r="E909" t="s">
        <v>18</v>
      </c>
      <c r="F909">
        <v>20.5</v>
      </c>
      <c r="G909">
        <v>-97.466999999999999</v>
      </c>
      <c r="H909">
        <v>-6</v>
      </c>
      <c r="I909">
        <v>62</v>
      </c>
      <c r="J909" t="str">
        <f>HYPERLINK("https://climate.onebuilding.org/WMO_Region_4_North_and_Central_America/MEX_Mexico/VER_Veracruz/MEX_VER_Poza.Rica.AP.765825_TMYx.2007-2021.zip")</f>
        <v>https://climate.onebuilding.org/WMO_Region_4_North_and_Central_America/MEX_Mexico/VER_Veracruz/MEX_VER_Poza.Rica.AP.765825_TMYx.2007-2021.zip</v>
      </c>
    </row>
    <row r="910" spans="1:10" x14ac:dyDescent="0.25">
      <c r="A910" t="s">
        <v>399</v>
      </c>
      <c r="B910" t="s">
        <v>553</v>
      </c>
      <c r="C910" t="s">
        <v>555</v>
      </c>
      <c r="D910">
        <v>765825</v>
      </c>
      <c r="E910" t="s">
        <v>18</v>
      </c>
      <c r="F910">
        <v>20.5</v>
      </c>
      <c r="G910">
        <v>-97.466999999999999</v>
      </c>
      <c r="H910">
        <v>-6</v>
      </c>
      <c r="I910">
        <v>62</v>
      </c>
      <c r="J910" t="str">
        <f>HYPERLINK("https://climate.onebuilding.org/WMO_Region_4_North_and_Central_America/MEX_Mexico/VER_Veracruz/MEX_VER_Poza.Rica.AP.765825_TMYx.2009-2023.zip")</f>
        <v>https://climate.onebuilding.org/WMO_Region_4_North_and_Central_America/MEX_Mexico/VER_Veracruz/MEX_VER_Poza.Rica.AP.765825_TMYx.2009-2023.zip</v>
      </c>
    </row>
    <row r="911" spans="1:10" x14ac:dyDescent="0.25">
      <c r="A911" t="s">
        <v>399</v>
      </c>
      <c r="B911" t="s">
        <v>553</v>
      </c>
      <c r="C911" t="s">
        <v>555</v>
      </c>
      <c r="D911">
        <v>765825</v>
      </c>
      <c r="E911" t="s">
        <v>18</v>
      </c>
      <c r="F911">
        <v>20.5</v>
      </c>
      <c r="G911">
        <v>-97.466999999999999</v>
      </c>
      <c r="H911">
        <v>-6</v>
      </c>
      <c r="I911">
        <v>62</v>
      </c>
      <c r="J911" t="str">
        <f>HYPERLINK("https://climate.onebuilding.org/WMO_Region_4_North_and_Central_America/MEX_Mexico/VER_Veracruz/MEX_VER_Poza.Rica.AP.765825_TMYx.zip")</f>
        <v>https://climate.onebuilding.org/WMO_Region_4_North_and_Central_America/MEX_Mexico/VER_Veracruz/MEX_VER_Poza.Rica.AP.765825_TMYx.zip</v>
      </c>
    </row>
    <row r="912" spans="1:10" x14ac:dyDescent="0.25">
      <c r="A912" t="s">
        <v>399</v>
      </c>
      <c r="B912" t="s">
        <v>526</v>
      </c>
      <c r="C912" t="s">
        <v>556</v>
      </c>
      <c r="D912">
        <v>765850</v>
      </c>
      <c r="E912" t="s">
        <v>557</v>
      </c>
      <c r="F912">
        <v>21.317</v>
      </c>
      <c r="G912">
        <v>-98.816999999999993</v>
      </c>
      <c r="H912">
        <v>-6</v>
      </c>
      <c r="I912">
        <v>132</v>
      </c>
      <c r="J912" t="str">
        <f>HYPERLINK("https://climate.onebuilding.org/WMO_Region_4_North_and_Central_America/MEX_Mexico/SLP_San_Luis_Potosi/MEX_SLP_Matlapa.765850_TMYx.2004-2018.zip")</f>
        <v>https://climate.onebuilding.org/WMO_Region_4_North_and_Central_America/MEX_Mexico/SLP_San_Luis_Potosi/MEX_SLP_Matlapa.765850_TMYx.2004-2018.zip</v>
      </c>
    </row>
    <row r="913" spans="1:10" x14ac:dyDescent="0.25">
      <c r="A913" t="s">
        <v>399</v>
      </c>
      <c r="B913" t="s">
        <v>526</v>
      </c>
      <c r="C913" t="s">
        <v>556</v>
      </c>
      <c r="D913">
        <v>765850</v>
      </c>
      <c r="E913" t="s">
        <v>10</v>
      </c>
      <c r="F913">
        <v>21.317</v>
      </c>
      <c r="G913">
        <v>-98.816999999999993</v>
      </c>
      <c r="H913">
        <v>-6</v>
      </c>
      <c r="I913">
        <v>132</v>
      </c>
      <c r="J913" t="str">
        <f>HYPERLINK("https://climate.onebuilding.org/WMO_Region_4_North_and_Central_America/MEX_Mexico/SLP_San_Luis_Potosi/MEX_SLP_Matlapa.765850_TMYx.2007-2021.zip")</f>
        <v>https://climate.onebuilding.org/WMO_Region_4_North_and_Central_America/MEX_Mexico/SLP_San_Luis_Potosi/MEX_SLP_Matlapa.765850_TMYx.2007-2021.zip</v>
      </c>
    </row>
    <row r="914" spans="1:10" x14ac:dyDescent="0.25">
      <c r="A914" t="s">
        <v>399</v>
      </c>
      <c r="B914" t="s">
        <v>526</v>
      </c>
      <c r="C914" t="s">
        <v>556</v>
      </c>
      <c r="D914">
        <v>765850</v>
      </c>
      <c r="E914" t="s">
        <v>10</v>
      </c>
      <c r="F914">
        <v>21.317</v>
      </c>
      <c r="G914">
        <v>-98.816999999999993</v>
      </c>
      <c r="H914">
        <v>-6</v>
      </c>
      <c r="I914">
        <v>132</v>
      </c>
      <c r="J914" t="str">
        <f>HYPERLINK("https://climate.onebuilding.org/WMO_Region_4_North_and_Central_America/MEX_Mexico/SLP_San_Luis_Potosi/MEX_SLP_Matlapa.765850_TMYx.2009-2023.zip")</f>
        <v>https://climate.onebuilding.org/WMO_Region_4_North_and_Central_America/MEX_Mexico/SLP_San_Luis_Potosi/MEX_SLP_Matlapa.765850_TMYx.2009-2023.zip</v>
      </c>
    </row>
    <row r="915" spans="1:10" x14ac:dyDescent="0.25">
      <c r="A915" t="s">
        <v>399</v>
      </c>
      <c r="B915" t="s">
        <v>526</v>
      </c>
      <c r="C915" t="s">
        <v>556</v>
      </c>
      <c r="D915">
        <v>765850</v>
      </c>
      <c r="E915" t="s">
        <v>10</v>
      </c>
      <c r="F915">
        <v>21.317</v>
      </c>
      <c r="G915">
        <v>-98.816999999999993</v>
      </c>
      <c r="H915">
        <v>-6</v>
      </c>
      <c r="I915">
        <v>132</v>
      </c>
      <c r="J915" t="str">
        <f>HYPERLINK("https://climate.onebuilding.org/WMO_Region_4_North_and_Central_America/MEX_Mexico/SLP_San_Luis_Potosi/MEX_SLP_Matlapa.765850_TMYx.zip")</f>
        <v>https://climate.onebuilding.org/WMO_Region_4_North_and_Central_America/MEX_Mexico/SLP_San_Luis_Potosi/MEX_SLP_Matlapa.765850_TMYx.zip</v>
      </c>
    </row>
    <row r="916" spans="1:10" x14ac:dyDescent="0.25">
      <c r="A916" t="s">
        <v>399</v>
      </c>
      <c r="B916" t="s">
        <v>509</v>
      </c>
      <c r="C916" t="s">
        <v>558</v>
      </c>
      <c r="D916">
        <v>765930</v>
      </c>
      <c r="E916" t="s">
        <v>559</v>
      </c>
      <c r="F916">
        <v>21.3</v>
      </c>
      <c r="G916">
        <v>-89.65</v>
      </c>
      <c r="H916">
        <v>-6</v>
      </c>
      <c r="I916">
        <v>2</v>
      </c>
      <c r="J916" t="str">
        <f>HYPERLINK("https://climate.onebuilding.org/WMO_Region_4_North_and_Central_America/MEX_Mexico/YUC_Yucatan/MEX_YUC_Progreso.765930_TMYx.2004-2018.zip")</f>
        <v>https://climate.onebuilding.org/WMO_Region_4_North_and_Central_America/MEX_Mexico/YUC_Yucatan/MEX_YUC_Progreso.765930_TMYx.2004-2018.zip</v>
      </c>
    </row>
    <row r="917" spans="1:10" x14ac:dyDescent="0.25">
      <c r="A917" t="s">
        <v>399</v>
      </c>
      <c r="B917" t="s">
        <v>509</v>
      </c>
      <c r="C917" t="s">
        <v>558</v>
      </c>
      <c r="D917">
        <v>765930</v>
      </c>
      <c r="E917" t="s">
        <v>10</v>
      </c>
      <c r="F917">
        <v>21.276700000000002</v>
      </c>
      <c r="G917">
        <v>-89.653899999999993</v>
      </c>
      <c r="H917">
        <v>-6</v>
      </c>
      <c r="I917">
        <v>2</v>
      </c>
      <c r="J917" t="str">
        <f>HYPERLINK("https://climate.onebuilding.org/WMO_Region_4_North_and_Central_America/MEX_Mexico/YUC_Yucatan/MEX_YUC_Progreso.765930_TMYx.2007-2021.zip")</f>
        <v>https://climate.onebuilding.org/WMO_Region_4_North_and_Central_America/MEX_Mexico/YUC_Yucatan/MEX_YUC_Progreso.765930_TMYx.2007-2021.zip</v>
      </c>
    </row>
    <row r="918" spans="1:10" x14ac:dyDescent="0.25">
      <c r="A918" t="s">
        <v>399</v>
      </c>
      <c r="B918" t="s">
        <v>509</v>
      </c>
      <c r="C918" t="s">
        <v>558</v>
      </c>
      <c r="D918">
        <v>765930</v>
      </c>
      <c r="E918" t="s">
        <v>10</v>
      </c>
      <c r="F918">
        <v>21.276700000000002</v>
      </c>
      <c r="G918">
        <v>-89.653899999999993</v>
      </c>
      <c r="H918">
        <v>-6</v>
      </c>
      <c r="I918">
        <v>2</v>
      </c>
      <c r="J918" t="str">
        <f>HYPERLINK("https://climate.onebuilding.org/WMO_Region_4_North_and_Central_America/MEX_Mexico/YUC_Yucatan/MEX_YUC_Progreso.765930_TMYx.2009-2023.zip")</f>
        <v>https://climate.onebuilding.org/WMO_Region_4_North_and_Central_America/MEX_Mexico/YUC_Yucatan/MEX_YUC_Progreso.765930_TMYx.2009-2023.zip</v>
      </c>
    </row>
    <row r="919" spans="1:10" x14ac:dyDescent="0.25">
      <c r="A919" t="s">
        <v>399</v>
      </c>
      <c r="B919" t="s">
        <v>509</v>
      </c>
      <c r="C919" t="s">
        <v>558</v>
      </c>
      <c r="D919">
        <v>765930</v>
      </c>
      <c r="E919" t="s">
        <v>10</v>
      </c>
      <c r="F919">
        <v>21.276700000000002</v>
      </c>
      <c r="G919">
        <v>-89.653899999999993</v>
      </c>
      <c r="H919">
        <v>-6</v>
      </c>
      <c r="I919">
        <v>2</v>
      </c>
      <c r="J919" t="str">
        <f>HYPERLINK("https://climate.onebuilding.org/WMO_Region_4_North_and_Central_America/MEX_Mexico/YUC_Yucatan/MEX_YUC_Progreso.765930_TMYx.zip")</f>
        <v>https://climate.onebuilding.org/WMO_Region_4_North_and_Central_America/MEX_Mexico/YUC_Yucatan/MEX_YUC_Progreso.765930_TMYx.zip</v>
      </c>
    </row>
    <row r="920" spans="1:10" x14ac:dyDescent="0.25">
      <c r="A920" t="s">
        <v>399</v>
      </c>
      <c r="B920" t="s">
        <v>560</v>
      </c>
      <c r="C920" t="s">
        <v>561</v>
      </c>
      <c r="D920">
        <v>765950</v>
      </c>
      <c r="E920" t="s">
        <v>562</v>
      </c>
      <c r="F920">
        <v>21.036999999999999</v>
      </c>
      <c r="G920">
        <v>-86.876999999999995</v>
      </c>
      <c r="H920">
        <v>-5</v>
      </c>
      <c r="I920">
        <v>6.1</v>
      </c>
      <c r="J920" t="str">
        <f>HYPERLINK("https://climate.onebuilding.org/WMO_Region_4_North_and_Central_America/MEX_Mexico/ROO_Quintana_Roo/MEX_ROO_Cancun.Intl.AP.765950_TMYx.2004-2018.zip")</f>
        <v>https://climate.onebuilding.org/WMO_Region_4_North_and_Central_America/MEX_Mexico/ROO_Quintana_Roo/MEX_ROO_Cancun.Intl.AP.765950_TMYx.2004-2018.zip</v>
      </c>
    </row>
    <row r="921" spans="1:10" x14ac:dyDescent="0.25">
      <c r="A921" t="s">
        <v>399</v>
      </c>
      <c r="B921" t="s">
        <v>560</v>
      </c>
      <c r="C921" t="s">
        <v>561</v>
      </c>
      <c r="D921">
        <v>765950</v>
      </c>
      <c r="E921" t="s">
        <v>10</v>
      </c>
      <c r="F921">
        <v>21.0289</v>
      </c>
      <c r="G921">
        <v>-86.852199999999996</v>
      </c>
      <c r="H921">
        <v>-5</v>
      </c>
      <c r="I921">
        <v>9</v>
      </c>
      <c r="J921" t="str">
        <f>HYPERLINK("https://climate.onebuilding.org/WMO_Region_4_North_and_Central_America/MEX_Mexico/ROO_Quintana_Roo/MEX_ROO_Cancun.Intl.AP.765950_TMYx.2007-2021.zip")</f>
        <v>https://climate.onebuilding.org/WMO_Region_4_North_and_Central_America/MEX_Mexico/ROO_Quintana_Roo/MEX_ROO_Cancun.Intl.AP.765950_TMYx.2007-2021.zip</v>
      </c>
    </row>
    <row r="922" spans="1:10" x14ac:dyDescent="0.25">
      <c r="A922" t="s">
        <v>399</v>
      </c>
      <c r="B922" t="s">
        <v>560</v>
      </c>
      <c r="C922" t="s">
        <v>561</v>
      </c>
      <c r="D922">
        <v>765950</v>
      </c>
      <c r="E922" t="s">
        <v>10</v>
      </c>
      <c r="F922">
        <v>21.0289</v>
      </c>
      <c r="G922">
        <v>-86.852199999999996</v>
      </c>
      <c r="H922">
        <v>-5</v>
      </c>
      <c r="I922">
        <v>9</v>
      </c>
      <c r="J922" t="str">
        <f>HYPERLINK("https://climate.onebuilding.org/WMO_Region_4_North_and_Central_America/MEX_Mexico/ROO_Quintana_Roo/MEX_ROO_Cancun.Intl.AP.765950_TMYx.2009-2023.zip")</f>
        <v>https://climate.onebuilding.org/WMO_Region_4_North_and_Central_America/MEX_Mexico/ROO_Quintana_Roo/MEX_ROO_Cancun.Intl.AP.765950_TMYx.2009-2023.zip</v>
      </c>
    </row>
    <row r="923" spans="1:10" x14ac:dyDescent="0.25">
      <c r="A923" t="s">
        <v>399</v>
      </c>
      <c r="B923" t="s">
        <v>560</v>
      </c>
      <c r="C923" t="s">
        <v>561</v>
      </c>
      <c r="D923">
        <v>765950</v>
      </c>
      <c r="E923" t="s">
        <v>10</v>
      </c>
      <c r="F923">
        <v>21.0289</v>
      </c>
      <c r="G923">
        <v>-86.852199999999996</v>
      </c>
      <c r="H923">
        <v>-5</v>
      </c>
      <c r="I923">
        <v>9</v>
      </c>
      <c r="J923" t="str">
        <f>HYPERLINK("https://climate.onebuilding.org/WMO_Region_4_North_and_Central_America/MEX_Mexico/ROO_Quintana_Roo/MEX_ROO_Cancun.Intl.AP.765950_TMYx.zip")</f>
        <v>https://climate.onebuilding.org/WMO_Region_4_North_and_Central_America/MEX_Mexico/ROO_Quintana_Roo/MEX_ROO_Cancun.Intl.AP.765950_TMYx.zip</v>
      </c>
    </row>
    <row r="924" spans="1:10" x14ac:dyDescent="0.25">
      <c r="A924" t="s">
        <v>399</v>
      </c>
      <c r="B924" t="s">
        <v>560</v>
      </c>
      <c r="C924" t="s">
        <v>563</v>
      </c>
      <c r="D924">
        <v>765990</v>
      </c>
      <c r="E924" t="s">
        <v>18</v>
      </c>
      <c r="F924">
        <v>21.2</v>
      </c>
      <c r="G924">
        <v>-86.716999999999999</v>
      </c>
      <c r="H924">
        <v>-5</v>
      </c>
      <c r="I924">
        <v>7</v>
      </c>
      <c r="J924" t="str">
        <f>HYPERLINK("https://climate.onebuilding.org/WMO_Region_4_North_and_Central_America/MEX_Mexico/ROO_Quintana_Roo/MEX_ROO_Isla.Mujeres.765990_TMYx.2007-2021.zip")</f>
        <v>https://climate.onebuilding.org/WMO_Region_4_North_and_Central_America/MEX_Mexico/ROO_Quintana_Roo/MEX_ROO_Isla.Mujeres.765990_TMYx.2007-2021.zip</v>
      </c>
    </row>
    <row r="925" spans="1:10" x14ac:dyDescent="0.25">
      <c r="A925" t="s">
        <v>399</v>
      </c>
      <c r="B925" t="s">
        <v>560</v>
      </c>
      <c r="C925" t="s">
        <v>563</v>
      </c>
      <c r="D925">
        <v>765990</v>
      </c>
      <c r="E925" t="s">
        <v>18</v>
      </c>
      <c r="F925">
        <v>21.2</v>
      </c>
      <c r="G925">
        <v>-86.716999999999999</v>
      </c>
      <c r="H925">
        <v>-5</v>
      </c>
      <c r="I925">
        <v>7</v>
      </c>
      <c r="J925" t="str">
        <f>HYPERLINK("https://climate.onebuilding.org/WMO_Region_4_North_and_Central_America/MEX_Mexico/ROO_Quintana_Roo/MEX_ROO_Isla.Mujeres.765990_TMYx.2009-2023.zip")</f>
        <v>https://climate.onebuilding.org/WMO_Region_4_North_and_Central_America/MEX_Mexico/ROO_Quintana_Roo/MEX_ROO_Isla.Mujeres.765990_TMYx.2009-2023.zip</v>
      </c>
    </row>
    <row r="926" spans="1:10" x14ac:dyDescent="0.25">
      <c r="A926" t="s">
        <v>399</v>
      </c>
      <c r="B926" t="s">
        <v>560</v>
      </c>
      <c r="C926" t="s">
        <v>563</v>
      </c>
      <c r="D926">
        <v>765990</v>
      </c>
      <c r="E926" t="s">
        <v>18</v>
      </c>
      <c r="F926">
        <v>21.2</v>
      </c>
      <c r="G926">
        <v>-86.716999999999999</v>
      </c>
      <c r="H926">
        <v>-5</v>
      </c>
      <c r="I926">
        <v>7</v>
      </c>
      <c r="J926" t="str">
        <f>HYPERLINK("https://climate.onebuilding.org/WMO_Region_4_North_and_Central_America/MEX_Mexico/ROO_Quintana_Roo/MEX_ROO_Isla.Mujeres.765990_TMYx.zip")</f>
        <v>https://climate.onebuilding.org/WMO_Region_4_North_and_Central_America/MEX_Mexico/ROO_Quintana_Roo/MEX_ROO_Isla.Mujeres.765990_TMYx.zip</v>
      </c>
    </row>
    <row r="927" spans="1:10" x14ac:dyDescent="0.25">
      <c r="A927" t="s">
        <v>399</v>
      </c>
      <c r="B927" t="s">
        <v>518</v>
      </c>
      <c r="C927" t="s">
        <v>564</v>
      </c>
      <c r="D927">
        <v>766013</v>
      </c>
      <c r="E927" t="s">
        <v>565</v>
      </c>
      <c r="F927">
        <v>20.68</v>
      </c>
      <c r="G927">
        <v>-105.254</v>
      </c>
      <c r="H927">
        <v>-6</v>
      </c>
      <c r="I927">
        <v>7</v>
      </c>
      <c r="J927" t="str">
        <f>HYPERLINK("https://climate.onebuilding.org/WMO_Region_4_North_and_Central_America/MEX_Mexico/JAL_Jalisco/MEX_JAL_Puerto.Vallarta-Ordaz.Intl.AP.766013_TMYx.2004-2018.zip")</f>
        <v>https://climate.onebuilding.org/WMO_Region_4_North_and_Central_America/MEX_Mexico/JAL_Jalisco/MEX_JAL_Puerto.Vallarta-Ordaz.Intl.AP.766013_TMYx.2004-2018.zip</v>
      </c>
    </row>
    <row r="928" spans="1:10" x14ac:dyDescent="0.25">
      <c r="A928" t="s">
        <v>399</v>
      </c>
      <c r="B928" t="s">
        <v>518</v>
      </c>
      <c r="C928" t="s">
        <v>564</v>
      </c>
      <c r="D928">
        <v>766013</v>
      </c>
      <c r="E928" t="s">
        <v>10</v>
      </c>
      <c r="F928">
        <v>20.68</v>
      </c>
      <c r="G928">
        <v>-105.254</v>
      </c>
      <c r="H928">
        <v>-6</v>
      </c>
      <c r="I928">
        <v>7</v>
      </c>
      <c r="J928" t="str">
        <f>HYPERLINK("https://climate.onebuilding.org/WMO_Region_4_North_and_Central_America/MEX_Mexico/JAL_Jalisco/MEX_JAL_Puerto.Vallarta-Ordaz.Intl.AP.766013_TMYx.2007-2021.zip")</f>
        <v>https://climate.onebuilding.org/WMO_Region_4_North_and_Central_America/MEX_Mexico/JAL_Jalisco/MEX_JAL_Puerto.Vallarta-Ordaz.Intl.AP.766013_TMYx.2007-2021.zip</v>
      </c>
    </row>
    <row r="929" spans="1:10" x14ac:dyDescent="0.25">
      <c r="A929" t="s">
        <v>399</v>
      </c>
      <c r="B929" t="s">
        <v>518</v>
      </c>
      <c r="C929" t="s">
        <v>564</v>
      </c>
      <c r="D929">
        <v>766013</v>
      </c>
      <c r="E929" t="s">
        <v>10</v>
      </c>
      <c r="F929">
        <v>20.68</v>
      </c>
      <c r="G929">
        <v>-105.254</v>
      </c>
      <c r="H929">
        <v>-6</v>
      </c>
      <c r="I929">
        <v>7</v>
      </c>
      <c r="J929" t="str">
        <f>HYPERLINK("https://climate.onebuilding.org/WMO_Region_4_North_and_Central_America/MEX_Mexico/JAL_Jalisco/MEX_JAL_Puerto.Vallarta-Ordaz.Intl.AP.766013_TMYx.2009-2023.zip")</f>
        <v>https://climate.onebuilding.org/WMO_Region_4_North_and_Central_America/MEX_Mexico/JAL_Jalisco/MEX_JAL_Puerto.Vallarta-Ordaz.Intl.AP.766013_TMYx.2009-2023.zip</v>
      </c>
    </row>
    <row r="930" spans="1:10" x14ac:dyDescent="0.25">
      <c r="A930" t="s">
        <v>399</v>
      </c>
      <c r="B930" t="s">
        <v>518</v>
      </c>
      <c r="C930" t="s">
        <v>564</v>
      </c>
      <c r="D930">
        <v>766013</v>
      </c>
      <c r="E930" t="s">
        <v>10</v>
      </c>
      <c r="F930">
        <v>20.68</v>
      </c>
      <c r="G930">
        <v>-105.254</v>
      </c>
      <c r="H930">
        <v>-6</v>
      </c>
      <c r="I930">
        <v>7</v>
      </c>
      <c r="J930" t="str">
        <f>HYPERLINK("https://climate.onebuilding.org/WMO_Region_4_North_and_Central_America/MEX_Mexico/JAL_Jalisco/MEX_JAL_Puerto.Vallarta-Ordaz.Intl.AP.766013_TMYx.zip")</f>
        <v>https://climate.onebuilding.org/WMO_Region_4_North_and_Central_America/MEX_Mexico/JAL_Jalisco/MEX_JAL_Puerto.Vallarta-Ordaz.Intl.AP.766013_TMYx.zip</v>
      </c>
    </row>
    <row r="931" spans="1:10" x14ac:dyDescent="0.25">
      <c r="A931" t="s">
        <v>399</v>
      </c>
      <c r="B931" t="s">
        <v>518</v>
      </c>
      <c r="C931" t="s">
        <v>566</v>
      </c>
      <c r="D931">
        <v>766015</v>
      </c>
      <c r="E931" t="s">
        <v>18</v>
      </c>
      <c r="F931">
        <v>20.756</v>
      </c>
      <c r="G931">
        <v>-103.465</v>
      </c>
      <c r="H931">
        <v>-6</v>
      </c>
      <c r="I931">
        <v>1625.5</v>
      </c>
      <c r="J931" t="str">
        <f>HYPERLINK("https://climate.onebuilding.org/WMO_Region_4_North_and_Central_America/MEX_Mexico/JAL_Jalisco/MEX_JAL_Zapopan.766015_TMYx.2007-2021.zip")</f>
        <v>https://climate.onebuilding.org/WMO_Region_4_North_and_Central_America/MEX_Mexico/JAL_Jalisco/MEX_JAL_Zapopan.766015_TMYx.2007-2021.zip</v>
      </c>
    </row>
    <row r="932" spans="1:10" x14ac:dyDescent="0.25">
      <c r="A932" t="s">
        <v>399</v>
      </c>
      <c r="B932" t="s">
        <v>518</v>
      </c>
      <c r="C932" t="s">
        <v>566</v>
      </c>
      <c r="D932">
        <v>766015</v>
      </c>
      <c r="E932" t="s">
        <v>18</v>
      </c>
      <c r="F932">
        <v>20.756</v>
      </c>
      <c r="G932">
        <v>-103.465</v>
      </c>
      <c r="H932">
        <v>-6</v>
      </c>
      <c r="I932">
        <v>1625.5</v>
      </c>
      <c r="J932" t="str">
        <f>HYPERLINK("https://climate.onebuilding.org/WMO_Region_4_North_and_Central_America/MEX_Mexico/JAL_Jalisco/MEX_JAL_Zapopan.766015_TMYx.2009-2023.zip")</f>
        <v>https://climate.onebuilding.org/WMO_Region_4_North_and_Central_America/MEX_Mexico/JAL_Jalisco/MEX_JAL_Zapopan.766015_TMYx.2009-2023.zip</v>
      </c>
    </row>
    <row r="933" spans="1:10" x14ac:dyDescent="0.25">
      <c r="A933" t="s">
        <v>399</v>
      </c>
      <c r="B933" t="s">
        <v>518</v>
      </c>
      <c r="C933" t="s">
        <v>566</v>
      </c>
      <c r="D933">
        <v>766015</v>
      </c>
      <c r="E933" t="s">
        <v>18</v>
      </c>
      <c r="F933">
        <v>20.756</v>
      </c>
      <c r="G933">
        <v>-103.465</v>
      </c>
      <c r="H933">
        <v>-6</v>
      </c>
      <c r="I933">
        <v>1625.5</v>
      </c>
      <c r="J933" t="str">
        <f>HYPERLINK("https://climate.onebuilding.org/WMO_Region_4_North_and_Central_America/MEX_Mexico/JAL_Jalisco/MEX_JAL_Zapopan.766015_TMYx.zip")</f>
        <v>https://climate.onebuilding.org/WMO_Region_4_North_and_Central_America/MEX_Mexico/JAL_Jalisco/MEX_JAL_Zapopan.766015_TMYx.zip</v>
      </c>
    </row>
    <row r="934" spans="1:10" x14ac:dyDescent="0.25">
      <c r="A934" t="s">
        <v>399</v>
      </c>
      <c r="B934" t="s">
        <v>518</v>
      </c>
      <c r="C934" t="s">
        <v>567</v>
      </c>
      <c r="D934">
        <v>766120</v>
      </c>
      <c r="E934" t="s">
        <v>568</v>
      </c>
      <c r="F934">
        <v>20.667000000000002</v>
      </c>
      <c r="G934">
        <v>-103.383</v>
      </c>
      <c r="H934">
        <v>-6</v>
      </c>
      <c r="I934">
        <v>1551</v>
      </c>
      <c r="J934" t="str">
        <f>HYPERLINK("https://climate.onebuilding.org/WMO_Region_4_North_and_Central_America/MEX_Mexico/JAL_Jalisco/MEX_JAL_Guadalajara-Chapalita.766120_TMYx.2004-2018.zip")</f>
        <v>https://climate.onebuilding.org/WMO_Region_4_North_and_Central_America/MEX_Mexico/JAL_Jalisco/MEX_JAL_Guadalajara-Chapalita.766120_TMYx.2004-2018.zip</v>
      </c>
    </row>
    <row r="935" spans="1:10" x14ac:dyDescent="0.25">
      <c r="A935" t="s">
        <v>399</v>
      </c>
      <c r="B935" t="s">
        <v>518</v>
      </c>
      <c r="C935" t="s">
        <v>567</v>
      </c>
      <c r="D935">
        <v>766120</v>
      </c>
      <c r="E935" t="s">
        <v>10</v>
      </c>
      <c r="F935">
        <v>20.667000000000002</v>
      </c>
      <c r="G935">
        <v>-103.383</v>
      </c>
      <c r="H935">
        <v>-6</v>
      </c>
      <c r="I935">
        <v>1551</v>
      </c>
      <c r="J935" t="str">
        <f>HYPERLINK("https://climate.onebuilding.org/WMO_Region_4_North_and_Central_America/MEX_Mexico/JAL_Jalisco/MEX_JAL_Guadalajara-Chapalita.766120_TMYx.2007-2021.zip")</f>
        <v>https://climate.onebuilding.org/WMO_Region_4_North_and_Central_America/MEX_Mexico/JAL_Jalisco/MEX_JAL_Guadalajara-Chapalita.766120_TMYx.2007-2021.zip</v>
      </c>
    </row>
    <row r="936" spans="1:10" x14ac:dyDescent="0.25">
      <c r="A936" t="s">
        <v>399</v>
      </c>
      <c r="B936" t="s">
        <v>518</v>
      </c>
      <c r="C936" t="s">
        <v>567</v>
      </c>
      <c r="D936">
        <v>766120</v>
      </c>
      <c r="E936" t="s">
        <v>10</v>
      </c>
      <c r="F936">
        <v>20.667000000000002</v>
      </c>
      <c r="G936">
        <v>-103.383</v>
      </c>
      <c r="H936">
        <v>-6</v>
      </c>
      <c r="I936">
        <v>1551</v>
      </c>
      <c r="J936" t="str">
        <f>HYPERLINK("https://climate.onebuilding.org/WMO_Region_4_North_and_Central_America/MEX_Mexico/JAL_Jalisco/MEX_JAL_Guadalajara-Chapalita.766120_TMYx.2009-2023.zip")</f>
        <v>https://climate.onebuilding.org/WMO_Region_4_North_and_Central_America/MEX_Mexico/JAL_Jalisco/MEX_JAL_Guadalajara-Chapalita.766120_TMYx.2009-2023.zip</v>
      </c>
    </row>
    <row r="937" spans="1:10" x14ac:dyDescent="0.25">
      <c r="A937" t="s">
        <v>399</v>
      </c>
      <c r="B937" t="s">
        <v>518</v>
      </c>
      <c r="C937" t="s">
        <v>567</v>
      </c>
      <c r="D937">
        <v>766120</v>
      </c>
      <c r="E937" t="s">
        <v>10</v>
      </c>
      <c r="F937">
        <v>20.667000000000002</v>
      </c>
      <c r="G937">
        <v>-103.383</v>
      </c>
      <c r="H937">
        <v>-6</v>
      </c>
      <c r="I937">
        <v>1551</v>
      </c>
      <c r="J937" t="str">
        <f>HYPERLINK("https://climate.onebuilding.org/WMO_Region_4_North_and_Central_America/MEX_Mexico/JAL_Jalisco/MEX_JAL_Guadalajara-Chapalita.766120_TMYx.zip")</f>
        <v>https://climate.onebuilding.org/WMO_Region_4_North_and_Central_America/MEX_Mexico/JAL_Jalisco/MEX_JAL_Guadalajara-Chapalita.766120_TMYx.zip</v>
      </c>
    </row>
    <row r="938" spans="1:10" x14ac:dyDescent="0.25">
      <c r="A938" t="s">
        <v>399</v>
      </c>
      <c r="B938" t="s">
        <v>553</v>
      </c>
      <c r="C938" t="s">
        <v>569</v>
      </c>
      <c r="D938">
        <v>766127</v>
      </c>
      <c r="E938" t="s">
        <v>570</v>
      </c>
      <c r="F938">
        <v>20.603000000000002</v>
      </c>
      <c r="G938">
        <v>-97.460999999999999</v>
      </c>
      <c r="H938">
        <v>-6</v>
      </c>
      <c r="I938">
        <v>151.5</v>
      </c>
      <c r="J938" t="str">
        <f>HYPERLINK("https://climate.onebuilding.org/WMO_Region_4_North_and_Central_America/MEX_Mexico/VER_Veracruz/MEX_VER_Tihuatian-El.Tajin.AP.766127_TMYx.2004-2018.zip")</f>
        <v>https://climate.onebuilding.org/WMO_Region_4_North_and_Central_America/MEX_Mexico/VER_Veracruz/MEX_VER_Tihuatian-El.Tajin.AP.766127_TMYx.2004-2018.zip</v>
      </c>
    </row>
    <row r="939" spans="1:10" x14ac:dyDescent="0.25">
      <c r="A939" t="s">
        <v>399</v>
      </c>
      <c r="B939" t="s">
        <v>553</v>
      </c>
      <c r="C939" t="s">
        <v>569</v>
      </c>
      <c r="D939">
        <v>766127</v>
      </c>
      <c r="E939" t="s">
        <v>10</v>
      </c>
      <c r="F939">
        <v>20.603000000000002</v>
      </c>
      <c r="G939">
        <v>-97.460999999999999</v>
      </c>
      <c r="H939">
        <v>-6</v>
      </c>
      <c r="I939">
        <v>151.5</v>
      </c>
      <c r="J939" t="str">
        <f>HYPERLINK("https://climate.onebuilding.org/WMO_Region_4_North_and_Central_America/MEX_Mexico/VER_Veracruz/MEX_VER_Tihuatian-El.Tajin.AP.766127_TMYx.2007-2021.zip")</f>
        <v>https://climate.onebuilding.org/WMO_Region_4_North_and_Central_America/MEX_Mexico/VER_Veracruz/MEX_VER_Tihuatian-El.Tajin.AP.766127_TMYx.2007-2021.zip</v>
      </c>
    </row>
    <row r="940" spans="1:10" x14ac:dyDescent="0.25">
      <c r="A940" t="s">
        <v>399</v>
      </c>
      <c r="B940" t="s">
        <v>553</v>
      </c>
      <c r="C940" t="s">
        <v>569</v>
      </c>
      <c r="D940">
        <v>766127</v>
      </c>
      <c r="E940" t="s">
        <v>10</v>
      </c>
      <c r="F940">
        <v>20.603000000000002</v>
      </c>
      <c r="G940">
        <v>-97.460999999999999</v>
      </c>
      <c r="H940">
        <v>-6</v>
      </c>
      <c r="I940">
        <v>151.5</v>
      </c>
      <c r="J940" t="str">
        <f>HYPERLINK("https://climate.onebuilding.org/WMO_Region_4_North_and_Central_America/MEX_Mexico/VER_Veracruz/MEX_VER_Tihuatian-El.Tajin.AP.766127_TMYx.2009-2023.zip")</f>
        <v>https://climate.onebuilding.org/WMO_Region_4_North_and_Central_America/MEX_Mexico/VER_Veracruz/MEX_VER_Tihuatian-El.Tajin.AP.766127_TMYx.2009-2023.zip</v>
      </c>
    </row>
    <row r="941" spans="1:10" x14ac:dyDescent="0.25">
      <c r="A941" t="s">
        <v>399</v>
      </c>
      <c r="B941" t="s">
        <v>553</v>
      </c>
      <c r="C941" t="s">
        <v>569</v>
      </c>
      <c r="D941">
        <v>766127</v>
      </c>
      <c r="E941" t="s">
        <v>10</v>
      </c>
      <c r="F941">
        <v>20.603000000000002</v>
      </c>
      <c r="G941">
        <v>-97.460999999999999</v>
      </c>
      <c r="H941">
        <v>-6</v>
      </c>
      <c r="I941">
        <v>151.5</v>
      </c>
      <c r="J941" t="str">
        <f>HYPERLINK("https://climate.onebuilding.org/WMO_Region_4_North_and_Central_America/MEX_Mexico/VER_Veracruz/MEX_VER_Tihuatian-El.Tajin.AP.766127_TMYx.zip")</f>
        <v>https://climate.onebuilding.org/WMO_Region_4_North_and_Central_America/MEX_Mexico/VER_Veracruz/MEX_VER_Tihuatian-El.Tajin.AP.766127_TMYx.zip</v>
      </c>
    </row>
    <row r="942" spans="1:10" x14ac:dyDescent="0.25">
      <c r="A942" t="s">
        <v>399</v>
      </c>
      <c r="B942" t="s">
        <v>518</v>
      </c>
      <c r="C942" t="s">
        <v>571</v>
      </c>
      <c r="D942">
        <v>766130</v>
      </c>
      <c r="E942" t="s">
        <v>18</v>
      </c>
      <c r="F942">
        <v>20.6</v>
      </c>
      <c r="G942">
        <v>-103.383</v>
      </c>
      <c r="H942">
        <v>-6</v>
      </c>
      <c r="I942">
        <v>1526</v>
      </c>
      <c r="J942" t="str">
        <f>HYPERLINK("https://climate.onebuilding.org/WMO_Region_4_North_and_Central_America/MEX_Mexico/JAL_Jalisco/MEX_JAL_Guadalajara-Santa.Maria.766130_TMYx.2007-2021.zip")</f>
        <v>https://climate.onebuilding.org/WMO_Region_4_North_and_Central_America/MEX_Mexico/JAL_Jalisco/MEX_JAL_Guadalajara-Santa.Maria.766130_TMYx.2007-2021.zip</v>
      </c>
    </row>
    <row r="943" spans="1:10" x14ac:dyDescent="0.25">
      <c r="A943" t="s">
        <v>399</v>
      </c>
      <c r="B943" t="s">
        <v>518</v>
      </c>
      <c r="C943" t="s">
        <v>571</v>
      </c>
      <c r="D943">
        <v>766130</v>
      </c>
      <c r="E943" t="s">
        <v>18</v>
      </c>
      <c r="F943">
        <v>20.6</v>
      </c>
      <c r="G943">
        <v>-103.383</v>
      </c>
      <c r="H943">
        <v>-6</v>
      </c>
      <c r="I943">
        <v>1526</v>
      </c>
      <c r="J943" t="str">
        <f>HYPERLINK("https://climate.onebuilding.org/WMO_Region_4_North_and_Central_America/MEX_Mexico/JAL_Jalisco/MEX_JAL_Guadalajara-Santa.Maria.766130_TMYx.2009-2023.zip")</f>
        <v>https://climate.onebuilding.org/WMO_Region_4_North_and_Central_America/MEX_Mexico/JAL_Jalisco/MEX_JAL_Guadalajara-Santa.Maria.766130_TMYx.2009-2023.zip</v>
      </c>
    </row>
    <row r="944" spans="1:10" x14ac:dyDescent="0.25">
      <c r="A944" t="s">
        <v>399</v>
      </c>
      <c r="B944" t="s">
        <v>518</v>
      </c>
      <c r="C944" t="s">
        <v>571</v>
      </c>
      <c r="D944">
        <v>766130</v>
      </c>
      <c r="E944" t="s">
        <v>18</v>
      </c>
      <c r="F944">
        <v>20.6</v>
      </c>
      <c r="G944">
        <v>-103.383</v>
      </c>
      <c r="H944">
        <v>-6</v>
      </c>
      <c r="I944">
        <v>1526</v>
      </c>
      <c r="J944" t="str">
        <f>HYPERLINK("https://climate.onebuilding.org/WMO_Region_4_North_and_Central_America/MEX_Mexico/JAL_Jalisco/MEX_JAL_Guadalajara-Santa.Maria.766130_TMYx.zip")</f>
        <v>https://climate.onebuilding.org/WMO_Region_4_North_and_Central_America/MEX_Mexico/JAL_Jalisco/MEX_JAL_Guadalajara-Santa.Maria.766130_TMYx.zip</v>
      </c>
    </row>
    <row r="945" spans="1:10" x14ac:dyDescent="0.25">
      <c r="A945" t="s">
        <v>399</v>
      </c>
      <c r="B945" t="s">
        <v>518</v>
      </c>
      <c r="C945" t="s">
        <v>572</v>
      </c>
      <c r="D945">
        <v>766133</v>
      </c>
      <c r="E945" t="s">
        <v>573</v>
      </c>
      <c r="F945">
        <v>20.521999999999998</v>
      </c>
      <c r="G945">
        <v>-103.31100000000001</v>
      </c>
      <c r="H945">
        <v>-6</v>
      </c>
      <c r="I945">
        <v>1528.9</v>
      </c>
      <c r="J945" t="str">
        <f>HYPERLINK("https://climate.onebuilding.org/WMO_Region_4_North_and_Central_America/MEX_Mexico/JAL_Jalisco/MEX_JAL_Guadalajara-Costilla.Intl.AP.766133_TMYx.2004-2018.zip")</f>
        <v>https://climate.onebuilding.org/WMO_Region_4_North_and_Central_America/MEX_Mexico/JAL_Jalisco/MEX_JAL_Guadalajara-Costilla.Intl.AP.766133_TMYx.2004-2018.zip</v>
      </c>
    </row>
    <row r="946" spans="1:10" x14ac:dyDescent="0.25">
      <c r="A946" t="s">
        <v>399</v>
      </c>
      <c r="B946" t="s">
        <v>518</v>
      </c>
      <c r="C946" t="s">
        <v>572</v>
      </c>
      <c r="D946">
        <v>766133</v>
      </c>
      <c r="E946" t="s">
        <v>10</v>
      </c>
      <c r="F946">
        <v>20.521999999999998</v>
      </c>
      <c r="G946">
        <v>-103.31100000000001</v>
      </c>
      <c r="H946">
        <v>-6</v>
      </c>
      <c r="I946">
        <v>1528.9</v>
      </c>
      <c r="J946" t="str">
        <f>HYPERLINK("https://climate.onebuilding.org/WMO_Region_4_North_and_Central_America/MEX_Mexico/JAL_Jalisco/MEX_JAL_Guadalajara-Costilla.Intl.AP.766133_TMYx.2007-2021.zip")</f>
        <v>https://climate.onebuilding.org/WMO_Region_4_North_and_Central_America/MEX_Mexico/JAL_Jalisco/MEX_JAL_Guadalajara-Costilla.Intl.AP.766133_TMYx.2007-2021.zip</v>
      </c>
    </row>
    <row r="947" spans="1:10" x14ac:dyDescent="0.25">
      <c r="A947" t="s">
        <v>399</v>
      </c>
      <c r="B947" t="s">
        <v>518</v>
      </c>
      <c r="C947" t="s">
        <v>572</v>
      </c>
      <c r="D947">
        <v>766133</v>
      </c>
      <c r="E947" t="s">
        <v>10</v>
      </c>
      <c r="F947">
        <v>20.521999999999998</v>
      </c>
      <c r="G947">
        <v>-103.31100000000001</v>
      </c>
      <c r="H947">
        <v>-6</v>
      </c>
      <c r="I947">
        <v>1528.9</v>
      </c>
      <c r="J947" t="str">
        <f>HYPERLINK("https://climate.onebuilding.org/WMO_Region_4_North_and_Central_America/MEX_Mexico/JAL_Jalisco/MEX_JAL_Guadalajara-Costilla.Intl.AP.766133_TMYx.2009-2023.zip")</f>
        <v>https://climate.onebuilding.org/WMO_Region_4_North_and_Central_America/MEX_Mexico/JAL_Jalisco/MEX_JAL_Guadalajara-Costilla.Intl.AP.766133_TMYx.2009-2023.zip</v>
      </c>
    </row>
    <row r="948" spans="1:10" x14ac:dyDescent="0.25">
      <c r="A948" t="s">
        <v>399</v>
      </c>
      <c r="B948" t="s">
        <v>518</v>
      </c>
      <c r="C948" t="s">
        <v>572</v>
      </c>
      <c r="D948">
        <v>766133</v>
      </c>
      <c r="E948" t="s">
        <v>10</v>
      </c>
      <c r="F948">
        <v>20.521999999999998</v>
      </c>
      <c r="G948">
        <v>-103.31100000000001</v>
      </c>
      <c r="H948">
        <v>-6</v>
      </c>
      <c r="I948">
        <v>1528.9</v>
      </c>
      <c r="J948" t="str">
        <f>HYPERLINK("https://climate.onebuilding.org/WMO_Region_4_North_and_Central_America/MEX_Mexico/JAL_Jalisco/MEX_JAL_Guadalajara-Costilla.Intl.AP.766133_TMYx.zip")</f>
        <v>https://climate.onebuilding.org/WMO_Region_4_North_and_Central_America/MEX_Mexico/JAL_Jalisco/MEX_JAL_Guadalajara-Costilla.Intl.AP.766133_TMYx.zip</v>
      </c>
    </row>
    <row r="949" spans="1:10" x14ac:dyDescent="0.25">
      <c r="A949" t="s">
        <v>399</v>
      </c>
      <c r="B949" t="s">
        <v>506</v>
      </c>
      <c r="C949" t="s">
        <v>574</v>
      </c>
      <c r="D949">
        <v>766134</v>
      </c>
      <c r="E949" t="s">
        <v>10</v>
      </c>
      <c r="F949">
        <v>22.667000000000002</v>
      </c>
      <c r="G949">
        <v>-102.55</v>
      </c>
      <c r="H949">
        <v>-6</v>
      </c>
      <c r="I949">
        <v>2354</v>
      </c>
      <c r="J949" t="str">
        <f>HYPERLINK("https://climate.onebuilding.org/WMO_Region_4_North_and_Central_America/MEX_Mexico/ZAC_Zacatecas/MEX_ZAC_San.Jose.Del.Cabo.766134_TMYx.zip")</f>
        <v>https://climate.onebuilding.org/WMO_Region_4_North_and_Central_America/MEX_Mexico/ZAC_Zacatecas/MEX_ZAC_San.Jose.Del.Cabo.766134_TMYx.zip</v>
      </c>
    </row>
    <row r="950" spans="1:10" x14ac:dyDescent="0.25">
      <c r="A950" t="s">
        <v>399</v>
      </c>
      <c r="B950" t="s">
        <v>575</v>
      </c>
      <c r="C950" t="s">
        <v>576</v>
      </c>
      <c r="D950">
        <v>766250</v>
      </c>
      <c r="E950" t="s">
        <v>577</v>
      </c>
      <c r="F950">
        <v>20.617000000000001</v>
      </c>
      <c r="G950">
        <v>-100.18600000000001</v>
      </c>
      <c r="H950">
        <v>-6</v>
      </c>
      <c r="I950">
        <v>1919</v>
      </c>
      <c r="J950" t="str">
        <f>HYPERLINK("https://climate.onebuilding.org/WMO_Region_4_North_and_Central_America/MEX_Mexico/QUE_Queretaro/MEX_QUE_Queretaro.766250_TMYx.2004-2018.zip")</f>
        <v>https://climate.onebuilding.org/WMO_Region_4_North_and_Central_America/MEX_Mexico/QUE_Queretaro/MEX_QUE_Queretaro.766250_TMYx.2004-2018.zip</v>
      </c>
    </row>
    <row r="951" spans="1:10" x14ac:dyDescent="0.25">
      <c r="A951" t="s">
        <v>399</v>
      </c>
      <c r="B951" t="s">
        <v>575</v>
      </c>
      <c r="C951" t="s">
        <v>576</v>
      </c>
      <c r="D951">
        <v>766250</v>
      </c>
      <c r="E951" t="s">
        <v>10</v>
      </c>
      <c r="F951">
        <v>20.563400000000001</v>
      </c>
      <c r="G951">
        <v>-100.3694</v>
      </c>
      <c r="H951">
        <v>-6</v>
      </c>
      <c r="I951">
        <v>1880</v>
      </c>
      <c r="J951" t="str">
        <f>HYPERLINK("https://climate.onebuilding.org/WMO_Region_4_North_and_Central_America/MEX_Mexico/QUE_Queretaro/MEX_QUE_Queretaro.766250_TMYx.2007-2021.zip")</f>
        <v>https://climate.onebuilding.org/WMO_Region_4_North_and_Central_America/MEX_Mexico/QUE_Queretaro/MEX_QUE_Queretaro.766250_TMYx.2007-2021.zip</v>
      </c>
    </row>
    <row r="952" spans="1:10" x14ac:dyDescent="0.25">
      <c r="A952" t="s">
        <v>399</v>
      </c>
      <c r="B952" t="s">
        <v>575</v>
      </c>
      <c r="C952" t="s">
        <v>576</v>
      </c>
      <c r="D952">
        <v>766250</v>
      </c>
      <c r="E952" t="s">
        <v>10</v>
      </c>
      <c r="F952">
        <v>20.563400000000001</v>
      </c>
      <c r="G952">
        <v>-100.3694</v>
      </c>
      <c r="H952">
        <v>-6</v>
      </c>
      <c r="I952">
        <v>1880</v>
      </c>
      <c r="J952" t="str">
        <f>HYPERLINK("https://climate.onebuilding.org/WMO_Region_4_North_and_Central_America/MEX_Mexico/QUE_Queretaro/MEX_QUE_Queretaro.766250_TMYx.2009-2023.zip")</f>
        <v>https://climate.onebuilding.org/WMO_Region_4_North_and_Central_America/MEX_Mexico/QUE_Queretaro/MEX_QUE_Queretaro.766250_TMYx.2009-2023.zip</v>
      </c>
    </row>
    <row r="953" spans="1:10" x14ac:dyDescent="0.25">
      <c r="A953" t="s">
        <v>399</v>
      </c>
      <c r="B953" t="s">
        <v>575</v>
      </c>
      <c r="C953" t="s">
        <v>576</v>
      </c>
      <c r="D953">
        <v>766250</v>
      </c>
      <c r="E953" t="s">
        <v>10</v>
      </c>
      <c r="F953">
        <v>20.563400000000001</v>
      </c>
      <c r="G953">
        <v>-100.3694</v>
      </c>
      <c r="H953">
        <v>-6</v>
      </c>
      <c r="I953">
        <v>1880</v>
      </c>
      <c r="J953" t="str">
        <f>HYPERLINK("https://climate.onebuilding.org/WMO_Region_4_North_and_Central_America/MEX_Mexico/QUE_Queretaro/MEX_QUE_Queretaro.766250_TMYx.zip")</f>
        <v>https://climate.onebuilding.org/WMO_Region_4_North_and_Central_America/MEX_Mexico/QUE_Queretaro/MEX_QUE_Queretaro.766250_TMYx.zip</v>
      </c>
    </row>
    <row r="954" spans="1:10" x14ac:dyDescent="0.25">
      <c r="A954" t="s">
        <v>399</v>
      </c>
      <c r="B954" t="s">
        <v>578</v>
      </c>
      <c r="C954" t="s">
        <v>579</v>
      </c>
      <c r="D954">
        <v>766320</v>
      </c>
      <c r="E954" t="s">
        <v>580</v>
      </c>
      <c r="F954">
        <v>20.132999999999999</v>
      </c>
      <c r="G954">
        <v>-98.75</v>
      </c>
      <c r="H954">
        <v>-6</v>
      </c>
      <c r="I954">
        <v>2435</v>
      </c>
      <c r="J954" t="str">
        <f>HYPERLINK("https://climate.onebuilding.org/WMO_Region_4_North_and_Central_America/MEX_Mexico/HID_Hidalgo/MEX_HID_Pachuca.766320_TMYx.2004-2018.zip")</f>
        <v>https://climate.onebuilding.org/WMO_Region_4_North_and_Central_America/MEX_Mexico/HID_Hidalgo/MEX_HID_Pachuca.766320_TMYx.2004-2018.zip</v>
      </c>
    </row>
    <row r="955" spans="1:10" x14ac:dyDescent="0.25">
      <c r="A955" t="s">
        <v>399</v>
      </c>
      <c r="B955" t="s">
        <v>578</v>
      </c>
      <c r="C955" t="s">
        <v>579</v>
      </c>
      <c r="D955">
        <v>766320</v>
      </c>
      <c r="E955" t="s">
        <v>10</v>
      </c>
      <c r="F955">
        <v>20.132999999999999</v>
      </c>
      <c r="G955">
        <v>-98.75</v>
      </c>
      <c r="H955">
        <v>-6</v>
      </c>
      <c r="I955">
        <v>2435</v>
      </c>
      <c r="J955" t="str">
        <f>HYPERLINK("https://climate.onebuilding.org/WMO_Region_4_North_and_Central_America/MEX_Mexico/HID_Hidalgo/MEX_HID_Pachuca.766320_TMYx.2007-2021.zip")</f>
        <v>https://climate.onebuilding.org/WMO_Region_4_North_and_Central_America/MEX_Mexico/HID_Hidalgo/MEX_HID_Pachuca.766320_TMYx.2007-2021.zip</v>
      </c>
    </row>
    <row r="956" spans="1:10" x14ac:dyDescent="0.25">
      <c r="A956" t="s">
        <v>399</v>
      </c>
      <c r="B956" t="s">
        <v>578</v>
      </c>
      <c r="C956" t="s">
        <v>579</v>
      </c>
      <c r="D956">
        <v>766320</v>
      </c>
      <c r="E956" t="s">
        <v>10</v>
      </c>
      <c r="F956">
        <v>20.132999999999999</v>
      </c>
      <c r="G956">
        <v>-98.75</v>
      </c>
      <c r="H956">
        <v>-6</v>
      </c>
      <c r="I956">
        <v>2435</v>
      </c>
      <c r="J956" t="str">
        <f>HYPERLINK("https://climate.onebuilding.org/WMO_Region_4_North_and_Central_America/MEX_Mexico/HID_Hidalgo/MEX_HID_Pachuca.766320_TMYx.2009-2023.zip")</f>
        <v>https://climate.onebuilding.org/WMO_Region_4_North_and_Central_America/MEX_Mexico/HID_Hidalgo/MEX_HID_Pachuca.766320_TMYx.2009-2023.zip</v>
      </c>
    </row>
    <row r="957" spans="1:10" x14ac:dyDescent="0.25">
      <c r="A957" t="s">
        <v>399</v>
      </c>
      <c r="B957" t="s">
        <v>578</v>
      </c>
      <c r="C957" t="s">
        <v>579</v>
      </c>
      <c r="D957">
        <v>766320</v>
      </c>
      <c r="E957" t="s">
        <v>10</v>
      </c>
      <c r="F957">
        <v>20.132999999999999</v>
      </c>
      <c r="G957">
        <v>-98.75</v>
      </c>
      <c r="H957">
        <v>-6</v>
      </c>
      <c r="I957">
        <v>2435</v>
      </c>
      <c r="J957" t="str">
        <f>HYPERLINK("https://climate.onebuilding.org/WMO_Region_4_North_and_Central_America/MEX_Mexico/HID_Hidalgo/MEX_HID_Pachuca.766320_TMYx.zip")</f>
        <v>https://climate.onebuilding.org/WMO_Region_4_North_and_Central_America/MEX_Mexico/HID_Hidalgo/MEX_HID_Pachuca.766320_TMYx.zip</v>
      </c>
    </row>
    <row r="958" spans="1:10" x14ac:dyDescent="0.25">
      <c r="A958" t="s">
        <v>399</v>
      </c>
      <c r="B958" t="s">
        <v>578</v>
      </c>
      <c r="C958" t="s">
        <v>581</v>
      </c>
      <c r="D958">
        <v>766340</v>
      </c>
      <c r="E958" t="s">
        <v>582</v>
      </c>
      <c r="F958">
        <v>20.082999999999998</v>
      </c>
      <c r="G958">
        <v>-98.367000000000004</v>
      </c>
      <c r="H958">
        <v>-6</v>
      </c>
      <c r="I958">
        <v>2181</v>
      </c>
      <c r="J958" t="str">
        <f>HYPERLINK("https://climate.onebuilding.org/WMO_Region_4_North_and_Central_America/MEX_Mexico/HID_Hidalgo/MEX_HID_Tulancingo.766340_TMYx.2004-2018.zip")</f>
        <v>https://climate.onebuilding.org/WMO_Region_4_North_and_Central_America/MEX_Mexico/HID_Hidalgo/MEX_HID_Tulancingo.766340_TMYx.2004-2018.zip</v>
      </c>
    </row>
    <row r="959" spans="1:10" x14ac:dyDescent="0.25">
      <c r="A959" t="s">
        <v>399</v>
      </c>
      <c r="B959" t="s">
        <v>578</v>
      </c>
      <c r="C959" t="s">
        <v>581</v>
      </c>
      <c r="D959">
        <v>763340</v>
      </c>
      <c r="E959" t="s">
        <v>10</v>
      </c>
      <c r="F959">
        <v>20.084199999999999</v>
      </c>
      <c r="G959">
        <v>-98.357500000000002</v>
      </c>
      <c r="H959">
        <v>-6</v>
      </c>
      <c r="I959">
        <v>2181</v>
      </c>
      <c r="J959" t="str">
        <f>HYPERLINK("https://climate.onebuilding.org/WMO_Region_4_North_and_Central_America/MEX_Mexico/HID_Hidalgo/MEX_HID_Tulancingo.766340_TMYx.2007-2021.zip")</f>
        <v>https://climate.onebuilding.org/WMO_Region_4_North_and_Central_America/MEX_Mexico/HID_Hidalgo/MEX_HID_Tulancingo.766340_TMYx.2007-2021.zip</v>
      </c>
    </row>
    <row r="960" spans="1:10" x14ac:dyDescent="0.25">
      <c r="A960" t="s">
        <v>399</v>
      </c>
      <c r="B960" t="s">
        <v>578</v>
      </c>
      <c r="C960" t="s">
        <v>581</v>
      </c>
      <c r="D960">
        <v>763340</v>
      </c>
      <c r="E960" t="s">
        <v>10</v>
      </c>
      <c r="F960">
        <v>20.084199999999999</v>
      </c>
      <c r="G960">
        <v>-98.357500000000002</v>
      </c>
      <c r="H960">
        <v>-6</v>
      </c>
      <c r="I960">
        <v>2181</v>
      </c>
      <c r="J960" t="str">
        <f>HYPERLINK("https://climate.onebuilding.org/WMO_Region_4_North_and_Central_America/MEX_Mexico/HID_Hidalgo/MEX_HID_Tulancingo.766340_TMYx.2009-2023.zip")</f>
        <v>https://climate.onebuilding.org/WMO_Region_4_North_and_Central_America/MEX_Mexico/HID_Hidalgo/MEX_HID_Tulancingo.766340_TMYx.2009-2023.zip</v>
      </c>
    </row>
    <row r="961" spans="1:10" x14ac:dyDescent="0.25">
      <c r="A961" t="s">
        <v>399</v>
      </c>
      <c r="B961" t="s">
        <v>578</v>
      </c>
      <c r="C961" t="s">
        <v>581</v>
      </c>
      <c r="D961">
        <v>763340</v>
      </c>
      <c r="E961" t="s">
        <v>10</v>
      </c>
      <c r="F961">
        <v>20.084199999999999</v>
      </c>
      <c r="G961">
        <v>-98.357500000000002</v>
      </c>
      <c r="H961">
        <v>-6</v>
      </c>
      <c r="I961">
        <v>2181</v>
      </c>
      <c r="J961" t="str">
        <f>HYPERLINK("https://climate.onebuilding.org/WMO_Region_4_North_and_Central_America/MEX_Mexico/HID_Hidalgo/MEX_HID_Tulancingo.766340_TMYx.zip")</f>
        <v>https://climate.onebuilding.org/WMO_Region_4_North_and_Central_America/MEX_Mexico/HID_Hidalgo/MEX_HID_Tulancingo.766340_TMYx.zip</v>
      </c>
    </row>
    <row r="962" spans="1:10" x14ac:dyDescent="0.25">
      <c r="A962" t="s">
        <v>399</v>
      </c>
      <c r="B962" t="s">
        <v>553</v>
      </c>
      <c r="C962" t="s">
        <v>583</v>
      </c>
      <c r="D962">
        <v>766400</v>
      </c>
      <c r="E962" t="s">
        <v>584</v>
      </c>
      <c r="F962">
        <v>20.95</v>
      </c>
      <c r="G962">
        <v>-97.4</v>
      </c>
      <c r="H962">
        <v>-6</v>
      </c>
      <c r="I962">
        <v>28</v>
      </c>
      <c r="J962" t="str">
        <f>HYPERLINK("https://climate.onebuilding.org/WMO_Region_4_North_and_Central_America/MEX_Mexico/VER_Veracruz/MEX_VER_Tuxpan.766400_TMYx.2004-2018.zip")</f>
        <v>https://climate.onebuilding.org/WMO_Region_4_North_and_Central_America/MEX_Mexico/VER_Veracruz/MEX_VER_Tuxpan.766400_TMYx.2004-2018.zip</v>
      </c>
    </row>
    <row r="963" spans="1:10" x14ac:dyDescent="0.25">
      <c r="A963" t="s">
        <v>399</v>
      </c>
      <c r="B963" t="s">
        <v>553</v>
      </c>
      <c r="C963" t="s">
        <v>583</v>
      </c>
      <c r="D963">
        <v>766400</v>
      </c>
      <c r="E963" t="s">
        <v>10</v>
      </c>
      <c r="F963">
        <v>20.96</v>
      </c>
      <c r="G963">
        <v>-97.417199999999994</v>
      </c>
      <c r="H963">
        <v>-6</v>
      </c>
      <c r="I963">
        <v>10</v>
      </c>
      <c r="J963" t="str">
        <f>HYPERLINK("https://climate.onebuilding.org/WMO_Region_4_North_and_Central_America/MEX_Mexico/VER_Veracruz/MEX_VER_Tuxpan.766400_TMYx.2007-2021.zip")</f>
        <v>https://climate.onebuilding.org/WMO_Region_4_North_and_Central_America/MEX_Mexico/VER_Veracruz/MEX_VER_Tuxpan.766400_TMYx.2007-2021.zip</v>
      </c>
    </row>
    <row r="964" spans="1:10" x14ac:dyDescent="0.25">
      <c r="A964" t="s">
        <v>399</v>
      </c>
      <c r="B964" t="s">
        <v>553</v>
      </c>
      <c r="C964" t="s">
        <v>583</v>
      </c>
      <c r="D964">
        <v>766400</v>
      </c>
      <c r="E964" t="s">
        <v>10</v>
      </c>
      <c r="F964">
        <v>20.96</v>
      </c>
      <c r="G964">
        <v>-97.417199999999994</v>
      </c>
      <c r="H964">
        <v>-6</v>
      </c>
      <c r="I964">
        <v>10</v>
      </c>
      <c r="J964" t="str">
        <f>HYPERLINK("https://climate.onebuilding.org/WMO_Region_4_North_and_Central_America/MEX_Mexico/VER_Veracruz/MEX_VER_Tuxpan.766400_TMYx.2009-2023.zip")</f>
        <v>https://climate.onebuilding.org/WMO_Region_4_North_and_Central_America/MEX_Mexico/VER_Veracruz/MEX_VER_Tuxpan.766400_TMYx.2009-2023.zip</v>
      </c>
    </row>
    <row r="965" spans="1:10" x14ac:dyDescent="0.25">
      <c r="A965" t="s">
        <v>399</v>
      </c>
      <c r="B965" t="s">
        <v>553</v>
      </c>
      <c r="C965" t="s">
        <v>583</v>
      </c>
      <c r="D965">
        <v>766400</v>
      </c>
      <c r="E965" t="s">
        <v>10</v>
      </c>
      <c r="F965">
        <v>20.96</v>
      </c>
      <c r="G965">
        <v>-97.417199999999994</v>
      </c>
      <c r="H965">
        <v>-6</v>
      </c>
      <c r="I965">
        <v>10</v>
      </c>
      <c r="J965" t="str">
        <f>HYPERLINK("https://climate.onebuilding.org/WMO_Region_4_North_and_Central_America/MEX_Mexico/VER_Veracruz/MEX_VER_Tuxpan.766400_TMYx.zip")</f>
        <v>https://climate.onebuilding.org/WMO_Region_4_North_and_Central_America/MEX_Mexico/VER_Veracruz/MEX_VER_Tuxpan.766400_TMYx.zip</v>
      </c>
    </row>
    <row r="966" spans="1:10" x14ac:dyDescent="0.25">
      <c r="A966" t="s">
        <v>399</v>
      </c>
      <c r="B966" t="s">
        <v>553</v>
      </c>
      <c r="C966" t="s">
        <v>585</v>
      </c>
      <c r="D966">
        <v>766405</v>
      </c>
      <c r="E966" t="s">
        <v>18</v>
      </c>
      <c r="F966">
        <v>20.283000000000001</v>
      </c>
      <c r="G966">
        <v>-97.716999999999999</v>
      </c>
      <c r="H966">
        <v>-6</v>
      </c>
      <c r="I966">
        <v>364</v>
      </c>
      <c r="J966" t="str">
        <f>HYPERLINK("https://climate.onebuilding.org/WMO_Region_4_North_and_Central_America/MEX_Mexico/VER_Veracruz/MEX_VER_Azcatlan.766405_TMYx.2007-2021.zip")</f>
        <v>https://climate.onebuilding.org/WMO_Region_4_North_and_Central_America/MEX_Mexico/VER_Veracruz/MEX_VER_Azcatlan.766405_TMYx.2007-2021.zip</v>
      </c>
    </row>
    <row r="967" spans="1:10" x14ac:dyDescent="0.25">
      <c r="A967" t="s">
        <v>399</v>
      </c>
      <c r="B967" t="s">
        <v>553</v>
      </c>
      <c r="C967" t="s">
        <v>585</v>
      </c>
      <c r="D967">
        <v>766405</v>
      </c>
      <c r="E967" t="s">
        <v>18</v>
      </c>
      <c r="F967">
        <v>20.283000000000001</v>
      </c>
      <c r="G967">
        <v>-97.716999999999999</v>
      </c>
      <c r="H967">
        <v>-6</v>
      </c>
      <c r="I967">
        <v>364</v>
      </c>
      <c r="J967" t="str">
        <f>HYPERLINK("https://climate.onebuilding.org/WMO_Region_4_North_and_Central_America/MEX_Mexico/VER_Veracruz/MEX_VER_Azcatlan.766405_TMYx.2009-2023.zip")</f>
        <v>https://climate.onebuilding.org/WMO_Region_4_North_and_Central_America/MEX_Mexico/VER_Veracruz/MEX_VER_Azcatlan.766405_TMYx.2009-2023.zip</v>
      </c>
    </row>
    <row r="968" spans="1:10" x14ac:dyDescent="0.25">
      <c r="A968" t="s">
        <v>399</v>
      </c>
      <c r="B968" t="s">
        <v>553</v>
      </c>
      <c r="C968" t="s">
        <v>585</v>
      </c>
      <c r="D968">
        <v>766405</v>
      </c>
      <c r="E968" t="s">
        <v>18</v>
      </c>
      <c r="F968">
        <v>20.283000000000001</v>
      </c>
      <c r="G968">
        <v>-97.716999999999999</v>
      </c>
      <c r="H968">
        <v>-6</v>
      </c>
      <c r="I968">
        <v>364</v>
      </c>
      <c r="J968" t="str">
        <f>HYPERLINK("https://climate.onebuilding.org/WMO_Region_4_North_and_Central_America/MEX_Mexico/VER_Veracruz/MEX_VER_Azcatlan.766405_TMYx.zip")</f>
        <v>https://climate.onebuilding.org/WMO_Region_4_North_and_Central_America/MEX_Mexico/VER_Veracruz/MEX_VER_Azcatlan.766405_TMYx.zip</v>
      </c>
    </row>
    <row r="969" spans="1:10" x14ac:dyDescent="0.25">
      <c r="A969" t="s">
        <v>399</v>
      </c>
      <c r="B969" t="s">
        <v>509</v>
      </c>
      <c r="C969" t="s">
        <v>586</v>
      </c>
      <c r="D969">
        <v>766420</v>
      </c>
      <c r="E969" t="s">
        <v>10</v>
      </c>
      <c r="F969">
        <v>20.91</v>
      </c>
      <c r="G969">
        <v>-92.22</v>
      </c>
      <c r="H969">
        <v>-6</v>
      </c>
      <c r="I969">
        <v>2</v>
      </c>
      <c r="J969" t="str">
        <f>HYPERLINK("https://climate.onebuilding.org/WMO_Region_4_North_and_Central_America/MEX_Mexico/YUC_Yucatan/MEX_YUC_Triangulos.Reefs.766420_TMYx.zip")</f>
        <v>https://climate.onebuilding.org/WMO_Region_4_North_and_Central_America/MEX_Mexico/YUC_Yucatan/MEX_YUC_Triangulos.Reefs.766420_TMYx.zip</v>
      </c>
    </row>
    <row r="970" spans="1:10" x14ac:dyDescent="0.25">
      <c r="A970" t="s">
        <v>399</v>
      </c>
      <c r="B970" t="s">
        <v>553</v>
      </c>
      <c r="C970" t="s">
        <v>587</v>
      </c>
      <c r="D970">
        <v>766421</v>
      </c>
      <c r="E970" t="s">
        <v>18</v>
      </c>
      <c r="F970">
        <v>20.2</v>
      </c>
      <c r="G970">
        <v>-96.766999999999996</v>
      </c>
      <c r="H970">
        <v>-6</v>
      </c>
      <c r="I970">
        <v>3</v>
      </c>
      <c r="J970" t="str">
        <f>HYPERLINK("https://climate.onebuilding.org/WMO_Region_4_North_and_Central_America/MEX_Mexico/VER_Veracruz/MEX_VER_Nautla.766421_TMYx.2007-2021.zip")</f>
        <v>https://climate.onebuilding.org/WMO_Region_4_North_and_Central_America/MEX_Mexico/VER_Veracruz/MEX_VER_Nautla.766421_TMYx.2007-2021.zip</v>
      </c>
    </row>
    <row r="971" spans="1:10" x14ac:dyDescent="0.25">
      <c r="A971" t="s">
        <v>399</v>
      </c>
      <c r="B971" t="s">
        <v>553</v>
      </c>
      <c r="C971" t="s">
        <v>587</v>
      </c>
      <c r="D971">
        <v>766421</v>
      </c>
      <c r="E971" t="s">
        <v>18</v>
      </c>
      <c r="F971">
        <v>20.2</v>
      </c>
      <c r="G971">
        <v>-96.766999999999996</v>
      </c>
      <c r="H971">
        <v>-6</v>
      </c>
      <c r="I971">
        <v>3</v>
      </c>
      <c r="J971" t="str">
        <f>HYPERLINK("https://climate.onebuilding.org/WMO_Region_4_North_and_Central_America/MEX_Mexico/VER_Veracruz/MEX_VER_Nautla.766421_TMYx.2009-2023.zip")</f>
        <v>https://climate.onebuilding.org/WMO_Region_4_North_and_Central_America/MEX_Mexico/VER_Veracruz/MEX_VER_Nautla.766421_TMYx.2009-2023.zip</v>
      </c>
    </row>
    <row r="972" spans="1:10" x14ac:dyDescent="0.25">
      <c r="A972" t="s">
        <v>399</v>
      </c>
      <c r="B972" t="s">
        <v>553</v>
      </c>
      <c r="C972" t="s">
        <v>587</v>
      </c>
      <c r="D972">
        <v>766421</v>
      </c>
      <c r="E972" t="s">
        <v>18</v>
      </c>
      <c r="F972">
        <v>20.2</v>
      </c>
      <c r="G972">
        <v>-96.766999999999996</v>
      </c>
      <c r="H972">
        <v>-6</v>
      </c>
      <c r="I972">
        <v>3</v>
      </c>
      <c r="J972" t="str">
        <f>HYPERLINK("https://climate.onebuilding.org/WMO_Region_4_North_and_Central_America/MEX_Mexico/VER_Veracruz/MEX_VER_Nautla.766421_TMYx.zip")</f>
        <v>https://climate.onebuilding.org/WMO_Region_4_North_and_Central_America/MEX_Mexico/VER_Veracruz/MEX_VER_Nautla.766421_TMYx.zip</v>
      </c>
    </row>
    <row r="973" spans="1:10" x14ac:dyDescent="0.25">
      <c r="A973" t="s">
        <v>399</v>
      </c>
      <c r="B973" t="s">
        <v>509</v>
      </c>
      <c r="C973" t="s">
        <v>588</v>
      </c>
      <c r="D973">
        <v>766430</v>
      </c>
      <c r="E973" t="s">
        <v>18</v>
      </c>
      <c r="F973">
        <v>20.216999999999999</v>
      </c>
      <c r="G973">
        <v>-91.966999999999999</v>
      </c>
      <c r="H973">
        <v>-6</v>
      </c>
      <c r="I973">
        <v>3</v>
      </c>
      <c r="J973" t="str">
        <f>HYPERLINK("https://climate.onebuilding.org/WMO_Region_4_North_and_Central_America/MEX_Mexico/YUC_Yucatan/MEX_YUC_Isla.Cayo.Arcas.766430_TMYx.2007-2021.zip")</f>
        <v>https://climate.onebuilding.org/WMO_Region_4_North_and_Central_America/MEX_Mexico/YUC_Yucatan/MEX_YUC_Isla.Cayo.Arcas.766430_TMYx.2007-2021.zip</v>
      </c>
    </row>
    <row r="974" spans="1:10" x14ac:dyDescent="0.25">
      <c r="A974" t="s">
        <v>399</v>
      </c>
      <c r="B974" t="s">
        <v>509</v>
      </c>
      <c r="C974" t="s">
        <v>588</v>
      </c>
      <c r="D974">
        <v>766430</v>
      </c>
      <c r="E974" t="s">
        <v>18</v>
      </c>
      <c r="F974">
        <v>20.216999999999999</v>
      </c>
      <c r="G974">
        <v>-91.966999999999999</v>
      </c>
      <c r="H974">
        <v>-6</v>
      </c>
      <c r="I974">
        <v>3</v>
      </c>
      <c r="J974" t="str">
        <f>HYPERLINK("https://climate.onebuilding.org/WMO_Region_4_North_and_Central_America/MEX_Mexico/YUC_Yucatan/MEX_YUC_Isla.Cayo.Arcas.766430_TMYx.2009-2023.zip")</f>
        <v>https://climate.onebuilding.org/WMO_Region_4_North_and_Central_America/MEX_Mexico/YUC_Yucatan/MEX_YUC_Isla.Cayo.Arcas.766430_TMYx.2009-2023.zip</v>
      </c>
    </row>
    <row r="975" spans="1:10" x14ac:dyDescent="0.25">
      <c r="A975" t="s">
        <v>399</v>
      </c>
      <c r="B975" t="s">
        <v>509</v>
      </c>
      <c r="C975" t="s">
        <v>588</v>
      </c>
      <c r="D975">
        <v>766430</v>
      </c>
      <c r="E975" t="s">
        <v>18</v>
      </c>
      <c r="F975">
        <v>20.216999999999999</v>
      </c>
      <c r="G975">
        <v>-91.966999999999999</v>
      </c>
      <c r="H975">
        <v>-6</v>
      </c>
      <c r="I975">
        <v>3</v>
      </c>
      <c r="J975" t="str">
        <f>HYPERLINK("https://climate.onebuilding.org/WMO_Region_4_North_and_Central_America/MEX_Mexico/YUC_Yucatan/MEX_YUC_Isla.Cayo.Arcas.766430_TMYx.zip")</f>
        <v>https://climate.onebuilding.org/WMO_Region_4_North_and_Central_America/MEX_Mexico/YUC_Yucatan/MEX_YUC_Isla.Cayo.Arcas.766430_TMYx.zip</v>
      </c>
    </row>
    <row r="976" spans="1:10" x14ac:dyDescent="0.25">
      <c r="A976" t="s">
        <v>399</v>
      </c>
      <c r="B976" t="s">
        <v>509</v>
      </c>
      <c r="C976" t="s">
        <v>589</v>
      </c>
      <c r="D976">
        <v>766440</v>
      </c>
      <c r="E976" t="s">
        <v>590</v>
      </c>
      <c r="F976">
        <v>20.937000000000001</v>
      </c>
      <c r="G976">
        <v>-89.658000000000001</v>
      </c>
      <c r="H976">
        <v>-6</v>
      </c>
      <c r="I976">
        <v>11.6</v>
      </c>
      <c r="J976" t="str">
        <f>HYPERLINK("https://climate.onebuilding.org/WMO_Region_4_North_and_Central_America/MEX_Mexico/YUC_Yucatan/MEX_YUC_Merida-Rejon.Intl.AP.766440_TMYx.2004-2018.zip")</f>
        <v>https://climate.onebuilding.org/WMO_Region_4_North_and_Central_America/MEX_Mexico/YUC_Yucatan/MEX_YUC_Merida-Rejon.Intl.AP.766440_TMYx.2004-2018.zip</v>
      </c>
    </row>
    <row r="977" spans="1:10" x14ac:dyDescent="0.25">
      <c r="A977" t="s">
        <v>399</v>
      </c>
      <c r="B977" t="s">
        <v>509</v>
      </c>
      <c r="C977" t="s">
        <v>589</v>
      </c>
      <c r="D977">
        <v>766440</v>
      </c>
      <c r="E977" t="s">
        <v>10</v>
      </c>
      <c r="F977">
        <v>20.946899999999999</v>
      </c>
      <c r="G977">
        <v>-89.652199999999993</v>
      </c>
      <c r="H977">
        <v>-6</v>
      </c>
      <c r="I977">
        <v>11.6</v>
      </c>
      <c r="J977" t="str">
        <f>HYPERLINK("https://climate.onebuilding.org/WMO_Region_4_North_and_Central_America/MEX_Mexico/YUC_Yucatan/MEX_YUC_Merida-Rejon.Intl.AP.766440_TMYx.2007-2021.zip")</f>
        <v>https://climate.onebuilding.org/WMO_Region_4_North_and_Central_America/MEX_Mexico/YUC_Yucatan/MEX_YUC_Merida-Rejon.Intl.AP.766440_TMYx.2007-2021.zip</v>
      </c>
    </row>
    <row r="978" spans="1:10" x14ac:dyDescent="0.25">
      <c r="A978" t="s">
        <v>399</v>
      </c>
      <c r="B978" t="s">
        <v>509</v>
      </c>
      <c r="C978" t="s">
        <v>589</v>
      </c>
      <c r="D978">
        <v>766440</v>
      </c>
      <c r="E978" t="s">
        <v>10</v>
      </c>
      <c r="F978">
        <v>20.946899999999999</v>
      </c>
      <c r="G978">
        <v>-89.652199999999993</v>
      </c>
      <c r="H978">
        <v>-6</v>
      </c>
      <c r="I978">
        <v>11.6</v>
      </c>
      <c r="J978" t="str">
        <f>HYPERLINK("https://climate.onebuilding.org/WMO_Region_4_North_and_Central_America/MEX_Mexico/YUC_Yucatan/MEX_YUC_Merida-Rejon.Intl.AP.766440_TMYx.2009-2023.zip")</f>
        <v>https://climate.onebuilding.org/WMO_Region_4_North_and_Central_America/MEX_Mexico/YUC_Yucatan/MEX_YUC_Merida-Rejon.Intl.AP.766440_TMYx.2009-2023.zip</v>
      </c>
    </row>
    <row r="979" spans="1:10" x14ac:dyDescent="0.25">
      <c r="A979" t="s">
        <v>399</v>
      </c>
      <c r="B979" t="s">
        <v>509</v>
      </c>
      <c r="C979" t="s">
        <v>589</v>
      </c>
      <c r="D979">
        <v>766440</v>
      </c>
      <c r="E979" t="s">
        <v>10</v>
      </c>
      <c r="F979">
        <v>20.946899999999999</v>
      </c>
      <c r="G979">
        <v>-89.652199999999993</v>
      </c>
      <c r="H979">
        <v>-6</v>
      </c>
      <c r="I979">
        <v>11.6</v>
      </c>
      <c r="J979" t="str">
        <f>HYPERLINK("https://climate.onebuilding.org/WMO_Region_4_North_and_Central_America/MEX_Mexico/YUC_Yucatan/MEX_YUC_Merida-Rejon.Intl.AP.766440_TMYx.zip")</f>
        <v>https://climate.onebuilding.org/WMO_Region_4_North_and_Central_America/MEX_Mexico/YUC_Yucatan/MEX_YUC_Merida-Rejon.Intl.AP.766440_TMYx.zip</v>
      </c>
    </row>
    <row r="980" spans="1:10" x14ac:dyDescent="0.25">
      <c r="A980" t="s">
        <v>399</v>
      </c>
      <c r="B980" t="s">
        <v>509</v>
      </c>
      <c r="C980" t="s">
        <v>591</v>
      </c>
      <c r="D980">
        <v>766443</v>
      </c>
      <c r="E980" t="s">
        <v>18</v>
      </c>
      <c r="F980">
        <v>20.933</v>
      </c>
      <c r="G980">
        <v>-89.667000000000002</v>
      </c>
      <c r="H980">
        <v>-6</v>
      </c>
      <c r="I980">
        <v>10</v>
      </c>
      <c r="J980" t="str">
        <f>HYPERLINK("https://climate.onebuilding.org/WMO_Region_4_North_and_Central_America/MEX_Mexico/YUC_Yucatan/MEX_YUC_Merida.Licenciado.766443_TMYx.2007-2021.zip")</f>
        <v>https://climate.onebuilding.org/WMO_Region_4_North_and_Central_America/MEX_Mexico/YUC_Yucatan/MEX_YUC_Merida.Licenciado.766443_TMYx.2007-2021.zip</v>
      </c>
    </row>
    <row r="981" spans="1:10" x14ac:dyDescent="0.25">
      <c r="A981" t="s">
        <v>399</v>
      </c>
      <c r="B981" t="s">
        <v>509</v>
      </c>
      <c r="C981" t="s">
        <v>591</v>
      </c>
      <c r="D981">
        <v>766443</v>
      </c>
      <c r="E981" t="s">
        <v>18</v>
      </c>
      <c r="F981">
        <v>20.933</v>
      </c>
      <c r="G981">
        <v>-89.667000000000002</v>
      </c>
      <c r="H981">
        <v>-6</v>
      </c>
      <c r="I981">
        <v>10</v>
      </c>
      <c r="J981" t="str">
        <f>HYPERLINK("https://climate.onebuilding.org/WMO_Region_4_North_and_Central_America/MEX_Mexico/YUC_Yucatan/MEX_YUC_Merida.Licenciado.766443_TMYx.2009-2023.zip")</f>
        <v>https://climate.onebuilding.org/WMO_Region_4_North_and_Central_America/MEX_Mexico/YUC_Yucatan/MEX_YUC_Merida.Licenciado.766443_TMYx.2009-2023.zip</v>
      </c>
    </row>
    <row r="982" spans="1:10" x14ac:dyDescent="0.25">
      <c r="A982" t="s">
        <v>399</v>
      </c>
      <c r="B982" t="s">
        <v>509</v>
      </c>
      <c r="C982" t="s">
        <v>591</v>
      </c>
      <c r="D982">
        <v>766443</v>
      </c>
      <c r="E982" t="s">
        <v>18</v>
      </c>
      <c r="F982">
        <v>20.933</v>
      </c>
      <c r="G982">
        <v>-89.667000000000002</v>
      </c>
      <c r="H982">
        <v>-6</v>
      </c>
      <c r="I982">
        <v>10</v>
      </c>
      <c r="J982" t="str">
        <f>HYPERLINK("https://climate.onebuilding.org/WMO_Region_4_North_and_Central_America/MEX_Mexico/YUC_Yucatan/MEX_YUC_Merida.Licenciado.766443_TMYx.zip")</f>
        <v>https://climate.onebuilding.org/WMO_Region_4_North_and_Central_America/MEX_Mexico/YUC_Yucatan/MEX_YUC_Merida.Licenciado.766443_TMYx.zip</v>
      </c>
    </row>
    <row r="983" spans="1:10" x14ac:dyDescent="0.25">
      <c r="A983" t="s">
        <v>399</v>
      </c>
      <c r="B983" t="s">
        <v>509</v>
      </c>
      <c r="C983" t="s">
        <v>592</v>
      </c>
      <c r="D983">
        <v>766470</v>
      </c>
      <c r="E983" t="s">
        <v>593</v>
      </c>
      <c r="F983">
        <v>20.683</v>
      </c>
      <c r="G983">
        <v>-88.2</v>
      </c>
      <c r="H983">
        <v>-6</v>
      </c>
      <c r="I983">
        <v>27</v>
      </c>
      <c r="J983" t="str">
        <f>HYPERLINK("https://climate.onebuilding.org/WMO_Region_4_North_and_Central_America/MEX_Mexico/YUC_Yucatan/MEX_YUC_Valladolid.766470_TMYx.2004-2018.zip")</f>
        <v>https://climate.onebuilding.org/WMO_Region_4_North_and_Central_America/MEX_Mexico/YUC_Yucatan/MEX_YUC_Valladolid.766470_TMYx.2004-2018.zip</v>
      </c>
    </row>
    <row r="984" spans="1:10" x14ac:dyDescent="0.25">
      <c r="A984" t="s">
        <v>399</v>
      </c>
      <c r="B984" t="s">
        <v>509</v>
      </c>
      <c r="C984" t="s">
        <v>592</v>
      </c>
      <c r="D984">
        <v>766470</v>
      </c>
      <c r="E984" t="s">
        <v>10</v>
      </c>
      <c r="F984">
        <v>20.683</v>
      </c>
      <c r="G984">
        <v>-88.2</v>
      </c>
      <c r="H984">
        <v>-6</v>
      </c>
      <c r="I984">
        <v>27</v>
      </c>
      <c r="J984" t="str">
        <f>HYPERLINK("https://climate.onebuilding.org/WMO_Region_4_North_and_Central_America/MEX_Mexico/YUC_Yucatan/MEX_YUC_Valladolid.766470_TMYx.2007-2021.zip")</f>
        <v>https://climate.onebuilding.org/WMO_Region_4_North_and_Central_America/MEX_Mexico/YUC_Yucatan/MEX_YUC_Valladolid.766470_TMYx.2007-2021.zip</v>
      </c>
    </row>
    <row r="985" spans="1:10" x14ac:dyDescent="0.25">
      <c r="A985" t="s">
        <v>399</v>
      </c>
      <c r="B985" t="s">
        <v>509</v>
      </c>
      <c r="C985" t="s">
        <v>592</v>
      </c>
      <c r="D985">
        <v>766470</v>
      </c>
      <c r="E985" t="s">
        <v>10</v>
      </c>
      <c r="F985">
        <v>20.683</v>
      </c>
      <c r="G985">
        <v>-88.2</v>
      </c>
      <c r="H985">
        <v>-6</v>
      </c>
      <c r="I985">
        <v>27</v>
      </c>
      <c r="J985" t="str">
        <f>HYPERLINK("https://climate.onebuilding.org/WMO_Region_4_North_and_Central_America/MEX_Mexico/YUC_Yucatan/MEX_YUC_Valladolid.766470_TMYx.2009-2023.zip")</f>
        <v>https://climate.onebuilding.org/WMO_Region_4_North_and_Central_America/MEX_Mexico/YUC_Yucatan/MEX_YUC_Valladolid.766470_TMYx.2009-2023.zip</v>
      </c>
    </row>
    <row r="986" spans="1:10" x14ac:dyDescent="0.25">
      <c r="A986" t="s">
        <v>399</v>
      </c>
      <c r="B986" t="s">
        <v>509</v>
      </c>
      <c r="C986" t="s">
        <v>592</v>
      </c>
      <c r="D986">
        <v>766470</v>
      </c>
      <c r="E986" t="s">
        <v>10</v>
      </c>
      <c r="F986">
        <v>20.683</v>
      </c>
      <c r="G986">
        <v>-88.2</v>
      </c>
      <c r="H986">
        <v>-6</v>
      </c>
      <c r="I986">
        <v>27</v>
      </c>
      <c r="J986" t="str">
        <f>HYPERLINK("https://climate.onebuilding.org/WMO_Region_4_North_and_Central_America/MEX_Mexico/YUC_Yucatan/MEX_YUC_Valladolid.766470_TMYx.zip")</f>
        <v>https://climate.onebuilding.org/WMO_Region_4_North_and_Central_America/MEX_Mexico/YUC_Yucatan/MEX_YUC_Valladolid.766470_TMYx.zip</v>
      </c>
    </row>
    <row r="987" spans="1:10" x14ac:dyDescent="0.25">
      <c r="A987" t="s">
        <v>399</v>
      </c>
      <c r="B987" t="s">
        <v>560</v>
      </c>
      <c r="C987" t="s">
        <v>594</v>
      </c>
      <c r="D987">
        <v>766490</v>
      </c>
      <c r="E987" t="s">
        <v>595</v>
      </c>
      <c r="F987">
        <v>20.516999999999999</v>
      </c>
      <c r="G987">
        <v>-86.933000000000007</v>
      </c>
      <c r="H987">
        <v>-5</v>
      </c>
      <c r="I987">
        <v>4</v>
      </c>
      <c r="J987" t="str">
        <f>HYPERLINK("https://climate.onebuilding.org/WMO_Region_4_North_and_Central_America/MEX_Mexico/ROO_Quintana_Roo/MEX_ROO_Cozumel.Intl.AP.766490_TMYx.2004-2018.zip")</f>
        <v>https://climate.onebuilding.org/WMO_Region_4_North_and_Central_America/MEX_Mexico/ROO_Quintana_Roo/MEX_ROO_Cozumel.Intl.AP.766490_TMYx.2004-2018.zip</v>
      </c>
    </row>
    <row r="988" spans="1:10" x14ac:dyDescent="0.25">
      <c r="A988" t="s">
        <v>399</v>
      </c>
      <c r="B988" t="s">
        <v>560</v>
      </c>
      <c r="C988" t="s">
        <v>594</v>
      </c>
      <c r="D988">
        <v>766490</v>
      </c>
      <c r="E988" t="s">
        <v>10</v>
      </c>
      <c r="F988">
        <v>20.516999999999999</v>
      </c>
      <c r="G988">
        <v>-86.933000000000007</v>
      </c>
      <c r="H988">
        <v>-5</v>
      </c>
      <c r="I988">
        <v>4</v>
      </c>
      <c r="J988" t="str">
        <f>HYPERLINK("https://climate.onebuilding.org/WMO_Region_4_North_and_Central_America/MEX_Mexico/ROO_Quintana_Roo/MEX_ROO_Cozumel.Intl.AP.766490_TMYx.2007-2021.zip")</f>
        <v>https://climate.onebuilding.org/WMO_Region_4_North_and_Central_America/MEX_Mexico/ROO_Quintana_Roo/MEX_ROO_Cozumel.Intl.AP.766490_TMYx.2007-2021.zip</v>
      </c>
    </row>
    <row r="989" spans="1:10" x14ac:dyDescent="0.25">
      <c r="A989" t="s">
        <v>399</v>
      </c>
      <c r="B989" t="s">
        <v>560</v>
      </c>
      <c r="C989" t="s">
        <v>594</v>
      </c>
      <c r="D989">
        <v>766490</v>
      </c>
      <c r="E989" t="s">
        <v>10</v>
      </c>
      <c r="F989">
        <v>20.516999999999999</v>
      </c>
      <c r="G989">
        <v>-86.933000000000007</v>
      </c>
      <c r="H989">
        <v>-5</v>
      </c>
      <c r="I989">
        <v>4</v>
      </c>
      <c r="J989" t="str">
        <f>HYPERLINK("https://climate.onebuilding.org/WMO_Region_4_North_and_Central_America/MEX_Mexico/ROO_Quintana_Roo/MEX_ROO_Cozumel.Intl.AP.766490_TMYx.2009-2023.zip")</f>
        <v>https://climate.onebuilding.org/WMO_Region_4_North_and_Central_America/MEX_Mexico/ROO_Quintana_Roo/MEX_ROO_Cozumel.Intl.AP.766490_TMYx.2009-2023.zip</v>
      </c>
    </row>
    <row r="990" spans="1:10" x14ac:dyDescent="0.25">
      <c r="A990" t="s">
        <v>399</v>
      </c>
      <c r="B990" t="s">
        <v>560</v>
      </c>
      <c r="C990" t="s">
        <v>594</v>
      </c>
      <c r="D990">
        <v>766490</v>
      </c>
      <c r="E990" t="s">
        <v>10</v>
      </c>
      <c r="F990">
        <v>20.516999999999999</v>
      </c>
      <c r="G990">
        <v>-86.933000000000007</v>
      </c>
      <c r="H990">
        <v>-5</v>
      </c>
      <c r="I990">
        <v>4</v>
      </c>
      <c r="J990" t="str">
        <f>HYPERLINK("https://climate.onebuilding.org/WMO_Region_4_North_and_Central_America/MEX_Mexico/ROO_Quintana_Roo/MEX_ROO_Cozumel.Intl.AP.766490_TMYx.zip")</f>
        <v>https://climate.onebuilding.org/WMO_Region_4_North_and_Central_America/MEX_Mexico/ROO_Quintana_Roo/MEX_ROO_Cozumel.Intl.AP.766490_TMYx.zip</v>
      </c>
    </row>
    <row r="991" spans="1:10" x14ac:dyDescent="0.25">
      <c r="A991" t="s">
        <v>399</v>
      </c>
      <c r="B991" t="s">
        <v>596</v>
      </c>
      <c r="C991" t="s">
        <v>597</v>
      </c>
      <c r="D991">
        <v>766534</v>
      </c>
      <c r="E991" t="s">
        <v>598</v>
      </c>
      <c r="F991">
        <v>19.145</v>
      </c>
      <c r="G991">
        <v>-104.559</v>
      </c>
      <c r="H991">
        <v>-6</v>
      </c>
      <c r="I991">
        <v>9.1</v>
      </c>
      <c r="J991" t="str">
        <f>HYPERLINK("https://climate.onebuilding.org/WMO_Region_4_North_and_Central_America/MEX_Mexico/COL_Colima/MEX_COL_Manzanillo-Playa.de.Oro.Intl.AP.766534_TMYx.2004-2018.zip")</f>
        <v>https://climate.onebuilding.org/WMO_Region_4_North_and_Central_America/MEX_Mexico/COL_Colima/MEX_COL_Manzanillo-Playa.de.Oro.Intl.AP.766534_TMYx.2004-2018.zip</v>
      </c>
    </row>
    <row r="992" spans="1:10" x14ac:dyDescent="0.25">
      <c r="A992" t="s">
        <v>399</v>
      </c>
      <c r="B992" t="s">
        <v>596</v>
      </c>
      <c r="C992" t="s">
        <v>597</v>
      </c>
      <c r="D992">
        <v>766534</v>
      </c>
      <c r="E992" t="s">
        <v>10</v>
      </c>
      <c r="F992">
        <v>19.145</v>
      </c>
      <c r="G992">
        <v>-104.559</v>
      </c>
      <c r="H992">
        <v>-6</v>
      </c>
      <c r="I992">
        <v>9.1</v>
      </c>
      <c r="J992" t="str">
        <f>HYPERLINK("https://climate.onebuilding.org/WMO_Region_4_North_and_Central_America/MEX_Mexico/COL_Colima/MEX_COL_Manzanillo-Playa.de.Oro.Intl.AP.766534_TMYx.2007-2021.zip")</f>
        <v>https://climate.onebuilding.org/WMO_Region_4_North_and_Central_America/MEX_Mexico/COL_Colima/MEX_COL_Manzanillo-Playa.de.Oro.Intl.AP.766534_TMYx.2007-2021.zip</v>
      </c>
    </row>
    <row r="993" spans="1:10" x14ac:dyDescent="0.25">
      <c r="A993" t="s">
        <v>399</v>
      </c>
      <c r="B993" t="s">
        <v>596</v>
      </c>
      <c r="C993" t="s">
        <v>597</v>
      </c>
      <c r="D993">
        <v>766534</v>
      </c>
      <c r="E993" t="s">
        <v>10</v>
      </c>
      <c r="F993">
        <v>19.145</v>
      </c>
      <c r="G993">
        <v>-104.559</v>
      </c>
      <c r="H993">
        <v>-6</v>
      </c>
      <c r="I993">
        <v>9.1</v>
      </c>
      <c r="J993" t="str">
        <f>HYPERLINK("https://climate.onebuilding.org/WMO_Region_4_North_and_Central_America/MEX_Mexico/COL_Colima/MEX_COL_Manzanillo-Playa.de.Oro.Intl.AP.766534_TMYx.2009-2023.zip")</f>
        <v>https://climate.onebuilding.org/WMO_Region_4_North_and_Central_America/MEX_Mexico/COL_Colima/MEX_COL_Manzanillo-Playa.de.Oro.Intl.AP.766534_TMYx.2009-2023.zip</v>
      </c>
    </row>
    <row r="994" spans="1:10" x14ac:dyDescent="0.25">
      <c r="A994" t="s">
        <v>399</v>
      </c>
      <c r="B994" t="s">
        <v>596</v>
      </c>
      <c r="C994" t="s">
        <v>597</v>
      </c>
      <c r="D994">
        <v>766534</v>
      </c>
      <c r="E994" t="s">
        <v>10</v>
      </c>
      <c r="F994">
        <v>19.145</v>
      </c>
      <c r="G994">
        <v>-104.559</v>
      </c>
      <c r="H994">
        <v>-6</v>
      </c>
      <c r="I994">
        <v>9.1</v>
      </c>
      <c r="J994" t="str">
        <f>HYPERLINK("https://climate.onebuilding.org/WMO_Region_4_North_and_Central_America/MEX_Mexico/COL_Colima/MEX_COL_Manzanillo-Playa.de.Oro.Intl.AP.766534_TMYx.zip")</f>
        <v>https://climate.onebuilding.org/WMO_Region_4_North_and_Central_America/MEX_Mexico/COL_Colima/MEX_COL_Manzanillo-Playa.de.Oro.Intl.AP.766534_TMYx.zip</v>
      </c>
    </row>
    <row r="995" spans="1:10" x14ac:dyDescent="0.25">
      <c r="A995" t="s">
        <v>399</v>
      </c>
      <c r="B995" t="s">
        <v>596</v>
      </c>
      <c r="C995" t="s">
        <v>599</v>
      </c>
      <c r="D995">
        <v>766540</v>
      </c>
      <c r="E995" t="s">
        <v>600</v>
      </c>
      <c r="F995">
        <v>19.05</v>
      </c>
      <c r="G995">
        <v>-104.31699999999999</v>
      </c>
      <c r="H995">
        <v>-6</v>
      </c>
      <c r="I995">
        <v>3</v>
      </c>
      <c r="J995" t="str">
        <f>HYPERLINK("https://climate.onebuilding.org/WMO_Region_4_North_and_Central_America/MEX_Mexico/COL_Colima/MEX_COL_Manzanillo.766540_TMYx.2004-2018.zip")</f>
        <v>https://climate.onebuilding.org/WMO_Region_4_North_and_Central_America/MEX_Mexico/COL_Colima/MEX_COL_Manzanillo.766540_TMYx.2004-2018.zip</v>
      </c>
    </row>
    <row r="996" spans="1:10" x14ac:dyDescent="0.25">
      <c r="A996" t="s">
        <v>399</v>
      </c>
      <c r="B996" t="s">
        <v>596</v>
      </c>
      <c r="C996" t="s">
        <v>599</v>
      </c>
      <c r="D996">
        <v>766540</v>
      </c>
      <c r="E996" t="s">
        <v>10</v>
      </c>
      <c r="F996">
        <v>19.0444</v>
      </c>
      <c r="G996">
        <v>-104.3186</v>
      </c>
      <c r="H996">
        <v>-6</v>
      </c>
      <c r="I996">
        <v>3</v>
      </c>
      <c r="J996" t="str">
        <f>HYPERLINK("https://climate.onebuilding.org/WMO_Region_4_North_and_Central_America/MEX_Mexico/COL_Colima/MEX_COL_Manzanillo.766540_TMYx.2007-2021.zip")</f>
        <v>https://climate.onebuilding.org/WMO_Region_4_North_and_Central_America/MEX_Mexico/COL_Colima/MEX_COL_Manzanillo.766540_TMYx.2007-2021.zip</v>
      </c>
    </row>
    <row r="997" spans="1:10" x14ac:dyDescent="0.25">
      <c r="A997" t="s">
        <v>399</v>
      </c>
      <c r="B997" t="s">
        <v>596</v>
      </c>
      <c r="C997" t="s">
        <v>599</v>
      </c>
      <c r="D997">
        <v>766540</v>
      </c>
      <c r="E997" t="s">
        <v>10</v>
      </c>
      <c r="F997">
        <v>19.0444</v>
      </c>
      <c r="G997">
        <v>-104.3186</v>
      </c>
      <c r="H997">
        <v>-6</v>
      </c>
      <c r="I997">
        <v>3</v>
      </c>
      <c r="J997" t="str">
        <f>HYPERLINK("https://climate.onebuilding.org/WMO_Region_4_North_and_Central_America/MEX_Mexico/COL_Colima/MEX_COL_Manzanillo.766540_TMYx.2009-2023.zip")</f>
        <v>https://climate.onebuilding.org/WMO_Region_4_North_and_Central_America/MEX_Mexico/COL_Colima/MEX_COL_Manzanillo.766540_TMYx.2009-2023.zip</v>
      </c>
    </row>
    <row r="998" spans="1:10" x14ac:dyDescent="0.25">
      <c r="A998" t="s">
        <v>399</v>
      </c>
      <c r="B998" t="s">
        <v>596</v>
      </c>
      <c r="C998" t="s">
        <v>599</v>
      </c>
      <c r="D998">
        <v>766540</v>
      </c>
      <c r="E998" t="s">
        <v>10</v>
      </c>
      <c r="F998">
        <v>19.0444</v>
      </c>
      <c r="G998">
        <v>-104.3186</v>
      </c>
      <c r="H998">
        <v>-6</v>
      </c>
      <c r="I998">
        <v>3</v>
      </c>
      <c r="J998" t="str">
        <f>HYPERLINK("https://climate.onebuilding.org/WMO_Region_4_North_and_Central_America/MEX_Mexico/COL_Colima/MEX_COL_Manzanillo.766540_TMYx.zip")</f>
        <v>https://climate.onebuilding.org/WMO_Region_4_North_and_Central_America/MEX_Mexico/COL_Colima/MEX_COL_Manzanillo.766540_TMYx.zip</v>
      </c>
    </row>
    <row r="999" spans="1:10" x14ac:dyDescent="0.25">
      <c r="A999" t="s">
        <v>399</v>
      </c>
      <c r="B999" t="s">
        <v>601</v>
      </c>
      <c r="C999" t="s">
        <v>602</v>
      </c>
      <c r="D999">
        <v>766546</v>
      </c>
      <c r="E999" t="s">
        <v>603</v>
      </c>
      <c r="F999">
        <v>19.396999999999998</v>
      </c>
      <c r="G999">
        <v>-102.039</v>
      </c>
      <c r="H999">
        <v>-6</v>
      </c>
      <c r="I999">
        <v>1602.6</v>
      </c>
      <c r="J999" t="str">
        <f>HYPERLINK("https://climate.onebuilding.org/WMO_Region_4_North_and_Central_America/MEX_Mexico/MIC_Michoacan/MEX_MIC_Uruapan-Rayon.Intl.AP.766546_TMYx.2004-2018.zip")</f>
        <v>https://climate.onebuilding.org/WMO_Region_4_North_and_Central_America/MEX_Mexico/MIC_Michoacan/MEX_MIC_Uruapan-Rayon.Intl.AP.766546_TMYx.2004-2018.zip</v>
      </c>
    </row>
    <row r="1000" spans="1:10" x14ac:dyDescent="0.25">
      <c r="A1000" t="s">
        <v>399</v>
      </c>
      <c r="B1000" t="s">
        <v>601</v>
      </c>
      <c r="C1000" t="s">
        <v>602</v>
      </c>
      <c r="D1000">
        <v>766546</v>
      </c>
      <c r="E1000" t="s">
        <v>10</v>
      </c>
      <c r="F1000">
        <v>19.396999999999998</v>
      </c>
      <c r="G1000">
        <v>-102.039</v>
      </c>
      <c r="H1000">
        <v>-6</v>
      </c>
      <c r="I1000">
        <v>1602.6</v>
      </c>
      <c r="J1000" t="str">
        <f>HYPERLINK("https://climate.onebuilding.org/WMO_Region_4_North_and_Central_America/MEX_Mexico/MIC_Michoacan/MEX_MIC_Uruapan-Rayon.Intl.AP.766546_TMYx.2007-2021.zip")</f>
        <v>https://climate.onebuilding.org/WMO_Region_4_North_and_Central_America/MEX_Mexico/MIC_Michoacan/MEX_MIC_Uruapan-Rayon.Intl.AP.766546_TMYx.2007-2021.zip</v>
      </c>
    </row>
    <row r="1001" spans="1:10" x14ac:dyDescent="0.25">
      <c r="A1001" t="s">
        <v>399</v>
      </c>
      <c r="B1001" t="s">
        <v>601</v>
      </c>
      <c r="C1001" t="s">
        <v>602</v>
      </c>
      <c r="D1001">
        <v>766546</v>
      </c>
      <c r="E1001" t="s">
        <v>10</v>
      </c>
      <c r="F1001">
        <v>19.396999999999998</v>
      </c>
      <c r="G1001">
        <v>-102.039</v>
      </c>
      <c r="H1001">
        <v>-6</v>
      </c>
      <c r="I1001">
        <v>1602.6</v>
      </c>
      <c r="J1001" t="str">
        <f>HYPERLINK("https://climate.onebuilding.org/WMO_Region_4_North_and_Central_America/MEX_Mexico/MIC_Michoacan/MEX_MIC_Uruapan-Rayon.Intl.AP.766546_TMYx.2009-2023.zip")</f>
        <v>https://climate.onebuilding.org/WMO_Region_4_North_and_Central_America/MEX_Mexico/MIC_Michoacan/MEX_MIC_Uruapan-Rayon.Intl.AP.766546_TMYx.2009-2023.zip</v>
      </c>
    </row>
    <row r="1002" spans="1:10" x14ac:dyDescent="0.25">
      <c r="A1002" t="s">
        <v>399</v>
      </c>
      <c r="B1002" t="s">
        <v>601</v>
      </c>
      <c r="C1002" t="s">
        <v>602</v>
      </c>
      <c r="D1002">
        <v>766546</v>
      </c>
      <c r="E1002" t="s">
        <v>10</v>
      </c>
      <c r="F1002">
        <v>19.396999999999998</v>
      </c>
      <c r="G1002">
        <v>-102.039</v>
      </c>
      <c r="H1002">
        <v>-6</v>
      </c>
      <c r="I1002">
        <v>1602.6</v>
      </c>
      <c r="J1002" t="str">
        <f>HYPERLINK("https://climate.onebuilding.org/WMO_Region_4_North_and_Central_America/MEX_Mexico/MIC_Michoacan/MEX_MIC_Uruapan-Rayon.Intl.AP.766546_TMYx.zip")</f>
        <v>https://climate.onebuilding.org/WMO_Region_4_North_and_Central_America/MEX_Mexico/MIC_Michoacan/MEX_MIC_Uruapan-Rayon.Intl.AP.766546_TMYx.zip</v>
      </c>
    </row>
    <row r="1003" spans="1:10" x14ac:dyDescent="0.25">
      <c r="A1003" t="s">
        <v>399</v>
      </c>
      <c r="B1003" t="s">
        <v>518</v>
      </c>
      <c r="C1003" t="s">
        <v>604</v>
      </c>
      <c r="D1003">
        <v>766560</v>
      </c>
      <c r="E1003" t="s">
        <v>605</v>
      </c>
      <c r="F1003">
        <v>19.716999999999999</v>
      </c>
      <c r="G1003">
        <v>-103.467</v>
      </c>
      <c r="H1003">
        <v>-6</v>
      </c>
      <c r="I1003">
        <v>1515</v>
      </c>
      <c r="J1003" t="str">
        <f>HYPERLINK("https://climate.onebuilding.org/WMO_Region_4_North_and_Central_America/MEX_Mexico/JAL_Jalisco/MEX_JAL_Ciudad.Guzman.766560_TMYx.2004-2018.zip")</f>
        <v>https://climate.onebuilding.org/WMO_Region_4_North_and_Central_America/MEX_Mexico/JAL_Jalisco/MEX_JAL_Ciudad.Guzman.766560_TMYx.2004-2018.zip</v>
      </c>
    </row>
    <row r="1004" spans="1:10" x14ac:dyDescent="0.25">
      <c r="A1004" t="s">
        <v>399</v>
      </c>
      <c r="B1004" t="s">
        <v>518</v>
      </c>
      <c r="C1004" t="s">
        <v>604</v>
      </c>
      <c r="D1004">
        <v>766560</v>
      </c>
      <c r="E1004" t="s">
        <v>10</v>
      </c>
      <c r="F1004">
        <v>19.716999999999999</v>
      </c>
      <c r="G1004">
        <v>-103.467</v>
      </c>
      <c r="H1004">
        <v>-6</v>
      </c>
      <c r="I1004">
        <v>1515</v>
      </c>
      <c r="J1004" t="str">
        <f>HYPERLINK("https://climate.onebuilding.org/WMO_Region_4_North_and_Central_America/MEX_Mexico/JAL_Jalisco/MEX_JAL_Ciudad.Guzman.766560_TMYx.2007-2021.zip")</f>
        <v>https://climate.onebuilding.org/WMO_Region_4_North_and_Central_America/MEX_Mexico/JAL_Jalisco/MEX_JAL_Ciudad.Guzman.766560_TMYx.2007-2021.zip</v>
      </c>
    </row>
    <row r="1005" spans="1:10" x14ac:dyDescent="0.25">
      <c r="A1005" t="s">
        <v>399</v>
      </c>
      <c r="B1005" t="s">
        <v>518</v>
      </c>
      <c r="C1005" t="s">
        <v>604</v>
      </c>
      <c r="D1005">
        <v>766560</v>
      </c>
      <c r="E1005" t="s">
        <v>10</v>
      </c>
      <c r="F1005">
        <v>19.716999999999999</v>
      </c>
      <c r="G1005">
        <v>-103.467</v>
      </c>
      <c r="H1005">
        <v>-6</v>
      </c>
      <c r="I1005">
        <v>1515</v>
      </c>
      <c r="J1005" t="str">
        <f>HYPERLINK("https://climate.onebuilding.org/WMO_Region_4_North_and_Central_America/MEX_Mexico/JAL_Jalisco/MEX_JAL_Ciudad.Guzman.766560_TMYx.2009-2023.zip")</f>
        <v>https://climate.onebuilding.org/WMO_Region_4_North_and_Central_America/MEX_Mexico/JAL_Jalisco/MEX_JAL_Ciudad.Guzman.766560_TMYx.2009-2023.zip</v>
      </c>
    </row>
    <row r="1006" spans="1:10" x14ac:dyDescent="0.25">
      <c r="A1006" t="s">
        <v>399</v>
      </c>
      <c r="B1006" t="s">
        <v>518</v>
      </c>
      <c r="C1006" t="s">
        <v>604</v>
      </c>
      <c r="D1006">
        <v>766560</v>
      </c>
      <c r="E1006" t="s">
        <v>10</v>
      </c>
      <c r="F1006">
        <v>19.716999999999999</v>
      </c>
      <c r="G1006">
        <v>-103.467</v>
      </c>
      <c r="H1006">
        <v>-6</v>
      </c>
      <c r="I1006">
        <v>1515</v>
      </c>
      <c r="J1006" t="str">
        <f>HYPERLINK("https://climate.onebuilding.org/WMO_Region_4_North_and_Central_America/MEX_Mexico/JAL_Jalisco/MEX_JAL_Ciudad.Guzman.766560_TMYx.zip")</f>
        <v>https://climate.onebuilding.org/WMO_Region_4_North_and_Central_America/MEX_Mexico/JAL_Jalisco/MEX_JAL_Ciudad.Guzman.766560_TMYx.zip</v>
      </c>
    </row>
    <row r="1007" spans="1:10" x14ac:dyDescent="0.25">
      <c r="A1007" t="s">
        <v>399</v>
      </c>
      <c r="B1007" t="s">
        <v>596</v>
      </c>
      <c r="C1007" t="s">
        <v>606</v>
      </c>
      <c r="D1007">
        <v>766580</v>
      </c>
      <c r="E1007" t="s">
        <v>607</v>
      </c>
      <c r="F1007">
        <v>19.277000000000001</v>
      </c>
      <c r="G1007">
        <v>-103.577</v>
      </c>
      <c r="H1007">
        <v>-6</v>
      </c>
      <c r="I1007">
        <v>751.9</v>
      </c>
      <c r="J1007" t="str">
        <f>HYPERLINK("https://climate.onebuilding.org/WMO_Region_4_North_and_Central_America/MEX_Mexico/COL_Colima/MEX_COL_Colima.AP.766580_TMYx.2004-2018.zip")</f>
        <v>https://climate.onebuilding.org/WMO_Region_4_North_and_Central_America/MEX_Mexico/COL_Colima/MEX_COL_Colima.AP.766580_TMYx.2004-2018.zip</v>
      </c>
    </row>
    <row r="1008" spans="1:10" x14ac:dyDescent="0.25">
      <c r="A1008" t="s">
        <v>399</v>
      </c>
      <c r="B1008" t="s">
        <v>596</v>
      </c>
      <c r="C1008" t="s">
        <v>606</v>
      </c>
      <c r="D1008">
        <v>766580</v>
      </c>
      <c r="E1008" t="s">
        <v>10</v>
      </c>
      <c r="F1008">
        <v>19.277000000000001</v>
      </c>
      <c r="G1008">
        <v>-103.577</v>
      </c>
      <c r="H1008">
        <v>-6</v>
      </c>
      <c r="I1008">
        <v>751.9</v>
      </c>
      <c r="J1008" t="str">
        <f>HYPERLINK("https://climate.onebuilding.org/WMO_Region_4_North_and_Central_America/MEX_Mexico/COL_Colima/MEX_COL_Colima.AP.766580_TMYx.2007-2021.zip")</f>
        <v>https://climate.onebuilding.org/WMO_Region_4_North_and_Central_America/MEX_Mexico/COL_Colima/MEX_COL_Colima.AP.766580_TMYx.2007-2021.zip</v>
      </c>
    </row>
    <row r="1009" spans="1:10" x14ac:dyDescent="0.25">
      <c r="A1009" t="s">
        <v>399</v>
      </c>
      <c r="B1009" t="s">
        <v>596</v>
      </c>
      <c r="C1009" t="s">
        <v>606</v>
      </c>
      <c r="D1009">
        <v>766580</v>
      </c>
      <c r="E1009" t="s">
        <v>10</v>
      </c>
      <c r="F1009">
        <v>19.277000000000001</v>
      </c>
      <c r="G1009">
        <v>-103.577</v>
      </c>
      <c r="H1009">
        <v>-6</v>
      </c>
      <c r="I1009">
        <v>751.9</v>
      </c>
      <c r="J1009" t="str">
        <f>HYPERLINK("https://climate.onebuilding.org/WMO_Region_4_North_and_Central_America/MEX_Mexico/COL_Colima/MEX_COL_Colima.AP.766580_TMYx.2009-2023.zip")</f>
        <v>https://climate.onebuilding.org/WMO_Region_4_North_and_Central_America/MEX_Mexico/COL_Colima/MEX_COL_Colima.AP.766580_TMYx.2009-2023.zip</v>
      </c>
    </row>
    <row r="1010" spans="1:10" x14ac:dyDescent="0.25">
      <c r="A1010" t="s">
        <v>399</v>
      </c>
      <c r="B1010" t="s">
        <v>596</v>
      </c>
      <c r="C1010" t="s">
        <v>606</v>
      </c>
      <c r="D1010">
        <v>766580</v>
      </c>
      <c r="E1010" t="s">
        <v>10</v>
      </c>
      <c r="F1010">
        <v>19.277000000000001</v>
      </c>
      <c r="G1010">
        <v>-103.577</v>
      </c>
      <c r="H1010">
        <v>-6</v>
      </c>
      <c r="I1010">
        <v>751.9</v>
      </c>
      <c r="J1010" t="str">
        <f>HYPERLINK("https://climate.onebuilding.org/WMO_Region_4_North_and_Central_America/MEX_Mexico/COL_Colima/MEX_COL_Colima.AP.766580_TMYx.zip")</f>
        <v>https://climate.onebuilding.org/WMO_Region_4_North_and_Central_America/MEX_Mexico/COL_Colima/MEX_COL_Colima.AP.766580_TMYx.zip</v>
      </c>
    </row>
    <row r="1011" spans="1:10" x14ac:dyDescent="0.25">
      <c r="A1011" t="s">
        <v>399</v>
      </c>
      <c r="B1011" t="s">
        <v>596</v>
      </c>
      <c r="C1011" t="s">
        <v>608</v>
      </c>
      <c r="D1011">
        <v>766581</v>
      </c>
      <c r="E1011" t="s">
        <v>18</v>
      </c>
      <c r="F1011">
        <v>19.233000000000001</v>
      </c>
      <c r="G1011">
        <v>-103.733</v>
      </c>
      <c r="H1011">
        <v>-6</v>
      </c>
      <c r="I1011">
        <v>494</v>
      </c>
      <c r="J1011" t="str">
        <f>HYPERLINK("https://climate.onebuilding.org/WMO_Region_4_North_and_Central_America/MEX_Mexico/COL_Colima/MEX_COL_Colima.766581_TMYx.2007-2021.zip")</f>
        <v>https://climate.onebuilding.org/WMO_Region_4_North_and_Central_America/MEX_Mexico/COL_Colima/MEX_COL_Colima.766581_TMYx.2007-2021.zip</v>
      </c>
    </row>
    <row r="1012" spans="1:10" x14ac:dyDescent="0.25">
      <c r="A1012" t="s">
        <v>399</v>
      </c>
      <c r="B1012" t="s">
        <v>596</v>
      </c>
      <c r="C1012" t="s">
        <v>608</v>
      </c>
      <c r="D1012">
        <v>766581</v>
      </c>
      <c r="E1012" t="s">
        <v>18</v>
      </c>
      <c r="F1012">
        <v>19.233000000000001</v>
      </c>
      <c r="G1012">
        <v>-103.733</v>
      </c>
      <c r="H1012">
        <v>-6</v>
      </c>
      <c r="I1012">
        <v>494</v>
      </c>
      <c r="J1012" t="str">
        <f>HYPERLINK("https://climate.onebuilding.org/WMO_Region_4_North_and_Central_America/MEX_Mexico/COL_Colima/MEX_COL_Colima.766581_TMYx.2009-2023.zip")</f>
        <v>https://climate.onebuilding.org/WMO_Region_4_North_and_Central_America/MEX_Mexico/COL_Colima/MEX_COL_Colima.766581_TMYx.2009-2023.zip</v>
      </c>
    </row>
    <row r="1013" spans="1:10" x14ac:dyDescent="0.25">
      <c r="A1013" t="s">
        <v>399</v>
      </c>
      <c r="B1013" t="s">
        <v>596</v>
      </c>
      <c r="C1013" t="s">
        <v>608</v>
      </c>
      <c r="D1013">
        <v>766581</v>
      </c>
      <c r="E1013" t="s">
        <v>18</v>
      </c>
      <c r="F1013">
        <v>19.233000000000001</v>
      </c>
      <c r="G1013">
        <v>-103.733</v>
      </c>
      <c r="H1013">
        <v>-6</v>
      </c>
      <c r="I1013">
        <v>494</v>
      </c>
      <c r="J1013" t="str">
        <f>HYPERLINK("https://climate.onebuilding.org/WMO_Region_4_North_and_Central_America/MEX_Mexico/COL_Colima/MEX_COL_Colima.766581_TMYx.zip")</f>
        <v>https://climate.onebuilding.org/WMO_Region_4_North_and_Central_America/MEX_Mexico/COL_Colima/MEX_COL_Colima.766581_TMYx.zip</v>
      </c>
    </row>
    <row r="1014" spans="1:10" x14ac:dyDescent="0.25">
      <c r="A1014" t="s">
        <v>399</v>
      </c>
      <c r="B1014" t="s">
        <v>601</v>
      </c>
      <c r="C1014" t="s">
        <v>609</v>
      </c>
      <c r="D1014">
        <v>766620</v>
      </c>
      <c r="E1014" t="s">
        <v>610</v>
      </c>
      <c r="F1014">
        <v>19.983000000000001</v>
      </c>
      <c r="G1014">
        <v>-102.31699999999999</v>
      </c>
      <c r="H1014">
        <v>-6</v>
      </c>
      <c r="I1014">
        <v>1562</v>
      </c>
      <c r="J1014" t="str">
        <f>HYPERLINK("https://climate.onebuilding.org/WMO_Region_4_North_and_Central_America/MEX_Mexico/MIC_Michoacan/MEX_MIC_Zamora.de.Hildago.766620_TMYx.2004-2018.zip")</f>
        <v>https://climate.onebuilding.org/WMO_Region_4_North_and_Central_America/MEX_Mexico/MIC_Michoacan/MEX_MIC_Zamora.de.Hildago.766620_TMYx.2004-2018.zip</v>
      </c>
    </row>
    <row r="1015" spans="1:10" x14ac:dyDescent="0.25">
      <c r="A1015" t="s">
        <v>399</v>
      </c>
      <c r="B1015" t="s">
        <v>601</v>
      </c>
      <c r="C1015" t="s">
        <v>609</v>
      </c>
      <c r="D1015">
        <v>766620</v>
      </c>
      <c r="E1015" t="s">
        <v>10</v>
      </c>
      <c r="F1015">
        <v>19.983000000000001</v>
      </c>
      <c r="G1015">
        <v>-102.31699999999999</v>
      </c>
      <c r="H1015">
        <v>-6</v>
      </c>
      <c r="I1015">
        <v>1562</v>
      </c>
      <c r="J1015" t="str">
        <f>HYPERLINK("https://climate.onebuilding.org/WMO_Region_4_North_and_Central_America/MEX_Mexico/MIC_Michoacan/MEX_MIC_Zamora.de.Hildago.766620_TMYx.2007-2021.zip")</f>
        <v>https://climate.onebuilding.org/WMO_Region_4_North_and_Central_America/MEX_Mexico/MIC_Michoacan/MEX_MIC_Zamora.de.Hildago.766620_TMYx.2007-2021.zip</v>
      </c>
    </row>
    <row r="1016" spans="1:10" x14ac:dyDescent="0.25">
      <c r="A1016" t="s">
        <v>399</v>
      </c>
      <c r="B1016" t="s">
        <v>601</v>
      </c>
      <c r="C1016" t="s">
        <v>609</v>
      </c>
      <c r="D1016">
        <v>766620</v>
      </c>
      <c r="E1016" t="s">
        <v>10</v>
      </c>
      <c r="F1016">
        <v>19.983000000000001</v>
      </c>
      <c r="G1016">
        <v>-102.31699999999999</v>
      </c>
      <c r="H1016">
        <v>-6</v>
      </c>
      <c r="I1016">
        <v>1562</v>
      </c>
      <c r="J1016" t="str">
        <f>HYPERLINK("https://climate.onebuilding.org/WMO_Region_4_North_and_Central_America/MEX_Mexico/MIC_Michoacan/MEX_MIC_Zamora.de.Hildago.766620_TMYx.2009-2023.zip")</f>
        <v>https://climate.onebuilding.org/WMO_Region_4_North_and_Central_America/MEX_Mexico/MIC_Michoacan/MEX_MIC_Zamora.de.Hildago.766620_TMYx.2009-2023.zip</v>
      </c>
    </row>
    <row r="1017" spans="1:10" x14ac:dyDescent="0.25">
      <c r="A1017" t="s">
        <v>399</v>
      </c>
      <c r="B1017" t="s">
        <v>601</v>
      </c>
      <c r="C1017" t="s">
        <v>609</v>
      </c>
      <c r="D1017">
        <v>766620</v>
      </c>
      <c r="E1017" t="s">
        <v>10</v>
      </c>
      <c r="F1017">
        <v>19.983000000000001</v>
      </c>
      <c r="G1017">
        <v>-102.31699999999999</v>
      </c>
      <c r="H1017">
        <v>-6</v>
      </c>
      <c r="I1017">
        <v>1562</v>
      </c>
      <c r="J1017" t="str">
        <f>HYPERLINK("https://climate.onebuilding.org/WMO_Region_4_North_and_Central_America/MEX_Mexico/MIC_Michoacan/MEX_MIC_Zamora.de.Hildago.766620_TMYx.zip")</f>
        <v>https://climate.onebuilding.org/WMO_Region_4_North_and_Central_America/MEX_Mexico/MIC_Michoacan/MEX_MIC_Zamora.de.Hildago.766620_TMYx.zip</v>
      </c>
    </row>
    <row r="1018" spans="1:10" x14ac:dyDescent="0.25">
      <c r="A1018" t="s">
        <v>399</v>
      </c>
      <c r="B1018" t="s">
        <v>601</v>
      </c>
      <c r="C1018" t="s">
        <v>611</v>
      </c>
      <c r="D1018">
        <v>766650</v>
      </c>
      <c r="E1018" t="s">
        <v>612</v>
      </c>
      <c r="F1018">
        <v>19.7</v>
      </c>
      <c r="G1018">
        <v>-101.18300000000001</v>
      </c>
      <c r="H1018">
        <v>-6</v>
      </c>
      <c r="I1018">
        <v>1913</v>
      </c>
      <c r="J1018" t="str">
        <f>HYPERLINK("https://climate.onebuilding.org/WMO_Region_4_North_and_Central_America/MEX_Mexico/MIC_Michoacan/MEX_MIC_Morelia.766650_TMYx.2004-2018.zip")</f>
        <v>https://climate.onebuilding.org/WMO_Region_4_North_and_Central_America/MEX_Mexico/MIC_Michoacan/MEX_MIC_Morelia.766650_TMYx.2004-2018.zip</v>
      </c>
    </row>
    <row r="1019" spans="1:10" x14ac:dyDescent="0.25">
      <c r="A1019" t="s">
        <v>399</v>
      </c>
      <c r="B1019" t="s">
        <v>601</v>
      </c>
      <c r="C1019" t="s">
        <v>611</v>
      </c>
      <c r="D1019">
        <v>766650</v>
      </c>
      <c r="E1019" t="s">
        <v>10</v>
      </c>
      <c r="F1019">
        <v>19.721699999999998</v>
      </c>
      <c r="G1019">
        <v>-101.1831</v>
      </c>
      <c r="H1019">
        <v>-6</v>
      </c>
      <c r="I1019">
        <v>1913</v>
      </c>
      <c r="J1019" t="str">
        <f>HYPERLINK("https://climate.onebuilding.org/WMO_Region_4_North_and_Central_America/MEX_Mexico/MIC_Michoacan/MEX_MIC_Morelia.766650_TMYx.2007-2021.zip")</f>
        <v>https://climate.onebuilding.org/WMO_Region_4_North_and_Central_America/MEX_Mexico/MIC_Michoacan/MEX_MIC_Morelia.766650_TMYx.2007-2021.zip</v>
      </c>
    </row>
    <row r="1020" spans="1:10" x14ac:dyDescent="0.25">
      <c r="A1020" t="s">
        <v>399</v>
      </c>
      <c r="B1020" t="s">
        <v>601</v>
      </c>
      <c r="C1020" t="s">
        <v>611</v>
      </c>
      <c r="D1020">
        <v>766650</v>
      </c>
      <c r="E1020" t="s">
        <v>10</v>
      </c>
      <c r="F1020">
        <v>19.721699999999998</v>
      </c>
      <c r="G1020">
        <v>-101.1831</v>
      </c>
      <c r="H1020">
        <v>-6</v>
      </c>
      <c r="I1020">
        <v>1913</v>
      </c>
      <c r="J1020" t="str">
        <f>HYPERLINK("https://climate.onebuilding.org/WMO_Region_4_North_and_Central_America/MEX_Mexico/MIC_Michoacan/MEX_MIC_Morelia.766650_TMYx.2009-2023.zip")</f>
        <v>https://climate.onebuilding.org/WMO_Region_4_North_and_Central_America/MEX_Mexico/MIC_Michoacan/MEX_MIC_Morelia.766650_TMYx.2009-2023.zip</v>
      </c>
    </row>
    <row r="1021" spans="1:10" x14ac:dyDescent="0.25">
      <c r="A1021" t="s">
        <v>399</v>
      </c>
      <c r="B1021" t="s">
        <v>601</v>
      </c>
      <c r="C1021" t="s">
        <v>611</v>
      </c>
      <c r="D1021">
        <v>766650</v>
      </c>
      <c r="E1021" t="s">
        <v>10</v>
      </c>
      <c r="F1021">
        <v>19.721699999999998</v>
      </c>
      <c r="G1021">
        <v>-101.1831</v>
      </c>
      <c r="H1021">
        <v>-6</v>
      </c>
      <c r="I1021">
        <v>1913</v>
      </c>
      <c r="J1021" t="str">
        <f>HYPERLINK("https://climate.onebuilding.org/WMO_Region_4_North_and_Central_America/MEX_Mexico/MIC_Michoacan/MEX_MIC_Morelia.766650_TMYx.zip")</f>
        <v>https://climate.onebuilding.org/WMO_Region_4_North_and_Central_America/MEX_Mexico/MIC_Michoacan/MEX_MIC_Morelia.766650_TMYx.zip</v>
      </c>
    </row>
    <row r="1022" spans="1:10" x14ac:dyDescent="0.25">
      <c r="A1022" t="s">
        <v>399</v>
      </c>
      <c r="B1022" t="s">
        <v>601</v>
      </c>
      <c r="C1022" t="s">
        <v>613</v>
      </c>
      <c r="D1022">
        <v>766655</v>
      </c>
      <c r="E1022" t="s">
        <v>614</v>
      </c>
      <c r="F1022">
        <v>19.850000000000001</v>
      </c>
      <c r="G1022">
        <v>-101.026</v>
      </c>
      <c r="H1022">
        <v>-6</v>
      </c>
      <c r="I1022">
        <v>1838.9</v>
      </c>
      <c r="J1022" t="str">
        <f>HYPERLINK("https://climate.onebuilding.org/WMO_Region_4_North_and_Central_America/MEX_Mexico/MIC_Michoacan/MEX_MIC_Morelia-Mujica.Intl.AP.766655_TMYx.2004-2018.zip")</f>
        <v>https://climate.onebuilding.org/WMO_Region_4_North_and_Central_America/MEX_Mexico/MIC_Michoacan/MEX_MIC_Morelia-Mujica.Intl.AP.766655_TMYx.2004-2018.zip</v>
      </c>
    </row>
    <row r="1023" spans="1:10" x14ac:dyDescent="0.25">
      <c r="A1023" t="s">
        <v>399</v>
      </c>
      <c r="B1023" t="s">
        <v>601</v>
      </c>
      <c r="C1023" t="s">
        <v>613</v>
      </c>
      <c r="D1023">
        <v>766655</v>
      </c>
      <c r="E1023" t="s">
        <v>10</v>
      </c>
      <c r="F1023">
        <v>19.850000000000001</v>
      </c>
      <c r="G1023">
        <v>-101.026</v>
      </c>
      <c r="H1023">
        <v>-6</v>
      </c>
      <c r="I1023">
        <v>1838.9</v>
      </c>
      <c r="J1023" t="str">
        <f>HYPERLINK("https://climate.onebuilding.org/WMO_Region_4_North_and_Central_America/MEX_Mexico/MIC_Michoacan/MEX_MIC_Morelia-Mujica.Intl.AP.766655_TMYx.2007-2021.zip")</f>
        <v>https://climate.onebuilding.org/WMO_Region_4_North_and_Central_America/MEX_Mexico/MIC_Michoacan/MEX_MIC_Morelia-Mujica.Intl.AP.766655_TMYx.2007-2021.zip</v>
      </c>
    </row>
    <row r="1024" spans="1:10" x14ac:dyDescent="0.25">
      <c r="A1024" t="s">
        <v>399</v>
      </c>
      <c r="B1024" t="s">
        <v>601</v>
      </c>
      <c r="C1024" t="s">
        <v>613</v>
      </c>
      <c r="D1024">
        <v>766655</v>
      </c>
      <c r="E1024" t="s">
        <v>10</v>
      </c>
      <c r="F1024">
        <v>19.850000000000001</v>
      </c>
      <c r="G1024">
        <v>-101.026</v>
      </c>
      <c r="H1024">
        <v>-6</v>
      </c>
      <c r="I1024">
        <v>1838.9</v>
      </c>
      <c r="J1024" t="str">
        <f>HYPERLINK("https://climate.onebuilding.org/WMO_Region_4_North_and_Central_America/MEX_Mexico/MIC_Michoacan/MEX_MIC_Morelia-Mujica.Intl.AP.766655_TMYx.2009-2023.zip")</f>
        <v>https://climate.onebuilding.org/WMO_Region_4_North_and_Central_America/MEX_Mexico/MIC_Michoacan/MEX_MIC_Morelia-Mujica.Intl.AP.766655_TMYx.2009-2023.zip</v>
      </c>
    </row>
    <row r="1025" spans="1:10" x14ac:dyDescent="0.25">
      <c r="A1025" t="s">
        <v>399</v>
      </c>
      <c r="B1025" t="s">
        <v>601</v>
      </c>
      <c r="C1025" t="s">
        <v>613</v>
      </c>
      <c r="D1025">
        <v>766655</v>
      </c>
      <c r="E1025" t="s">
        <v>10</v>
      </c>
      <c r="F1025">
        <v>19.850000000000001</v>
      </c>
      <c r="G1025">
        <v>-101.026</v>
      </c>
      <c r="H1025">
        <v>-6</v>
      </c>
      <c r="I1025">
        <v>1838.9</v>
      </c>
      <c r="J1025" t="str">
        <f>HYPERLINK("https://climate.onebuilding.org/WMO_Region_4_North_and_Central_America/MEX_Mexico/MIC_Michoacan/MEX_MIC_Morelia-Mujica.Intl.AP.766655_TMYx.zip")</f>
        <v>https://climate.onebuilding.org/WMO_Region_4_North_and_Central_America/MEX_Mexico/MIC_Michoacan/MEX_MIC_Morelia-Mujica.Intl.AP.766655_TMYx.zip</v>
      </c>
    </row>
    <row r="1026" spans="1:10" x14ac:dyDescent="0.25">
      <c r="A1026" t="s">
        <v>399</v>
      </c>
      <c r="B1026" t="s">
        <v>399</v>
      </c>
      <c r="C1026" t="s">
        <v>615</v>
      </c>
      <c r="D1026">
        <v>766700</v>
      </c>
      <c r="E1026" t="s">
        <v>18</v>
      </c>
      <c r="F1026">
        <v>19.683</v>
      </c>
      <c r="G1026">
        <v>-99.183000000000007</v>
      </c>
      <c r="H1026">
        <v>-6</v>
      </c>
      <c r="I1026">
        <v>2251</v>
      </c>
      <c r="J1026" t="str">
        <f>HYPERLINK("https://climate.onebuilding.org/WMO_Region_4_North_and_Central_America/MEX_Mexico/MEX_Mexico/MEX_MEX_Fes.Cuautitlan.766700_TMYx.2007-2021.zip")</f>
        <v>https://climate.onebuilding.org/WMO_Region_4_North_and_Central_America/MEX_Mexico/MEX_Mexico/MEX_MEX_Fes.Cuautitlan.766700_TMYx.2007-2021.zip</v>
      </c>
    </row>
    <row r="1027" spans="1:10" x14ac:dyDescent="0.25">
      <c r="A1027" t="s">
        <v>399</v>
      </c>
      <c r="B1027" t="s">
        <v>399</v>
      </c>
      <c r="C1027" t="s">
        <v>615</v>
      </c>
      <c r="D1027">
        <v>766700</v>
      </c>
      <c r="E1027" t="s">
        <v>18</v>
      </c>
      <c r="F1027">
        <v>19.683</v>
      </c>
      <c r="G1027">
        <v>-99.183000000000007</v>
      </c>
      <c r="H1027">
        <v>-6</v>
      </c>
      <c r="I1027">
        <v>2251</v>
      </c>
      <c r="J1027" t="str">
        <f>HYPERLINK("https://climate.onebuilding.org/WMO_Region_4_North_and_Central_America/MEX_Mexico/MEX_Mexico/MEX_MEX_Fes.Cuautitlan.766700_TMYx.2009-2023.zip")</f>
        <v>https://climate.onebuilding.org/WMO_Region_4_North_and_Central_America/MEX_Mexico/MEX_Mexico/MEX_MEX_Fes.Cuautitlan.766700_TMYx.2009-2023.zip</v>
      </c>
    </row>
    <row r="1028" spans="1:10" x14ac:dyDescent="0.25">
      <c r="A1028" t="s">
        <v>399</v>
      </c>
      <c r="B1028" t="s">
        <v>399</v>
      </c>
      <c r="C1028" t="s">
        <v>615</v>
      </c>
      <c r="D1028">
        <v>766700</v>
      </c>
      <c r="E1028" t="s">
        <v>18</v>
      </c>
      <c r="F1028">
        <v>19.683</v>
      </c>
      <c r="G1028">
        <v>-99.183000000000007</v>
      </c>
      <c r="H1028">
        <v>-6</v>
      </c>
      <c r="I1028">
        <v>2251</v>
      </c>
      <c r="J1028" t="str">
        <f>HYPERLINK("https://climate.onebuilding.org/WMO_Region_4_North_and_Central_America/MEX_Mexico/MEX_Mexico/MEX_MEX_Fes.Cuautitlan.766700_TMYx.zip")</f>
        <v>https://climate.onebuilding.org/WMO_Region_4_North_and_Central_America/MEX_Mexico/MEX_Mexico/MEX_MEX_Fes.Cuautitlan.766700_TMYx.zip</v>
      </c>
    </row>
    <row r="1029" spans="1:10" x14ac:dyDescent="0.25">
      <c r="A1029" t="s">
        <v>399</v>
      </c>
      <c r="B1029" t="s">
        <v>399</v>
      </c>
      <c r="C1029" t="s">
        <v>616</v>
      </c>
      <c r="D1029">
        <v>766750</v>
      </c>
      <c r="E1029" t="s">
        <v>617</v>
      </c>
      <c r="F1029">
        <v>19.283000000000001</v>
      </c>
      <c r="G1029">
        <v>-99.683000000000007</v>
      </c>
      <c r="H1029">
        <v>-6</v>
      </c>
      <c r="I1029">
        <v>2720</v>
      </c>
      <c r="J1029" t="str">
        <f>HYPERLINK("https://climate.onebuilding.org/WMO_Region_4_North_and_Central_America/MEX_Mexico/MEX_Mexico/MEX_MEX_Toluca.de.Lerdo.766750_TMYx.2004-2018.zip")</f>
        <v>https://climate.onebuilding.org/WMO_Region_4_North_and_Central_America/MEX_Mexico/MEX_Mexico/MEX_MEX_Toluca.de.Lerdo.766750_TMYx.2004-2018.zip</v>
      </c>
    </row>
    <row r="1030" spans="1:10" x14ac:dyDescent="0.25">
      <c r="A1030" t="s">
        <v>399</v>
      </c>
      <c r="B1030" t="s">
        <v>399</v>
      </c>
      <c r="C1030" t="s">
        <v>616</v>
      </c>
      <c r="D1030">
        <v>766750</v>
      </c>
      <c r="E1030" t="s">
        <v>10</v>
      </c>
      <c r="F1030">
        <v>19.283000000000001</v>
      </c>
      <c r="G1030">
        <v>-99.683000000000007</v>
      </c>
      <c r="H1030">
        <v>-6</v>
      </c>
      <c r="I1030">
        <v>2720</v>
      </c>
      <c r="J1030" t="str">
        <f>HYPERLINK("https://climate.onebuilding.org/WMO_Region_4_North_and_Central_America/MEX_Mexico/MEX_Mexico/MEX_MEX_Toluca.de.Lerdo.766750_TMYx.2007-2021.zip")</f>
        <v>https://climate.onebuilding.org/WMO_Region_4_North_and_Central_America/MEX_Mexico/MEX_Mexico/MEX_MEX_Toluca.de.Lerdo.766750_TMYx.2007-2021.zip</v>
      </c>
    </row>
    <row r="1031" spans="1:10" x14ac:dyDescent="0.25">
      <c r="A1031" t="s">
        <v>399</v>
      </c>
      <c r="B1031" t="s">
        <v>399</v>
      </c>
      <c r="C1031" t="s">
        <v>616</v>
      </c>
      <c r="D1031">
        <v>766750</v>
      </c>
      <c r="E1031" t="s">
        <v>10</v>
      </c>
      <c r="F1031">
        <v>19.283000000000001</v>
      </c>
      <c r="G1031">
        <v>-99.683000000000007</v>
      </c>
      <c r="H1031">
        <v>-6</v>
      </c>
      <c r="I1031">
        <v>2720</v>
      </c>
      <c r="J1031" t="str">
        <f>HYPERLINK("https://climate.onebuilding.org/WMO_Region_4_North_and_Central_America/MEX_Mexico/MEX_Mexico/MEX_MEX_Toluca.de.Lerdo.766750_TMYx.2009-2023.zip")</f>
        <v>https://climate.onebuilding.org/WMO_Region_4_North_and_Central_America/MEX_Mexico/MEX_Mexico/MEX_MEX_Toluca.de.Lerdo.766750_TMYx.2009-2023.zip</v>
      </c>
    </row>
    <row r="1032" spans="1:10" x14ac:dyDescent="0.25">
      <c r="A1032" t="s">
        <v>399</v>
      </c>
      <c r="B1032" t="s">
        <v>399</v>
      </c>
      <c r="C1032" t="s">
        <v>616</v>
      </c>
      <c r="D1032">
        <v>766750</v>
      </c>
      <c r="E1032" t="s">
        <v>10</v>
      </c>
      <c r="F1032">
        <v>19.283000000000001</v>
      </c>
      <c r="G1032">
        <v>-99.683000000000007</v>
      </c>
      <c r="H1032">
        <v>-6</v>
      </c>
      <c r="I1032">
        <v>2720</v>
      </c>
      <c r="J1032" t="str">
        <f>HYPERLINK("https://climate.onebuilding.org/WMO_Region_4_North_and_Central_America/MEX_Mexico/MEX_Mexico/MEX_MEX_Toluca.de.Lerdo.766750_TMYx.zip")</f>
        <v>https://climate.onebuilding.org/WMO_Region_4_North_and_Central_America/MEX_Mexico/MEX_Mexico/MEX_MEX_Toluca.de.Lerdo.766750_TMYx.zip</v>
      </c>
    </row>
    <row r="1033" spans="1:10" x14ac:dyDescent="0.25">
      <c r="A1033" t="s">
        <v>399</v>
      </c>
      <c r="B1033" t="s">
        <v>399</v>
      </c>
      <c r="C1033" t="s">
        <v>618</v>
      </c>
      <c r="D1033">
        <v>766753</v>
      </c>
      <c r="E1033" t="s">
        <v>619</v>
      </c>
      <c r="F1033">
        <v>19.337</v>
      </c>
      <c r="G1033">
        <v>-99.566000000000003</v>
      </c>
      <c r="H1033">
        <v>-6</v>
      </c>
      <c r="I1033">
        <v>2580.4</v>
      </c>
      <c r="J1033" t="str">
        <f>HYPERLINK("https://climate.onebuilding.org/WMO_Region_4_North_and_Central_America/MEX_Mexico/MEX_Mexico/MEX_MEX_Toluca-Mateos.Intl.AP.766753_TMYx.2004-2018.zip")</f>
        <v>https://climate.onebuilding.org/WMO_Region_4_North_and_Central_America/MEX_Mexico/MEX_Mexico/MEX_MEX_Toluca-Mateos.Intl.AP.766753_TMYx.2004-2018.zip</v>
      </c>
    </row>
    <row r="1034" spans="1:10" x14ac:dyDescent="0.25">
      <c r="A1034" t="s">
        <v>399</v>
      </c>
      <c r="B1034" t="s">
        <v>399</v>
      </c>
      <c r="C1034" t="s">
        <v>618</v>
      </c>
      <c r="D1034">
        <v>766753</v>
      </c>
      <c r="E1034" t="s">
        <v>10</v>
      </c>
      <c r="F1034">
        <v>19.337</v>
      </c>
      <c r="G1034">
        <v>-99.566000000000003</v>
      </c>
      <c r="H1034">
        <v>-6</v>
      </c>
      <c r="I1034">
        <v>2580.4</v>
      </c>
      <c r="J1034" t="str">
        <f>HYPERLINK("https://climate.onebuilding.org/WMO_Region_4_North_and_Central_America/MEX_Mexico/MEX_Mexico/MEX_MEX_Toluca-Mateos.Intl.AP.766753_TMYx.2007-2021.zip")</f>
        <v>https://climate.onebuilding.org/WMO_Region_4_North_and_Central_America/MEX_Mexico/MEX_Mexico/MEX_MEX_Toluca-Mateos.Intl.AP.766753_TMYx.2007-2021.zip</v>
      </c>
    </row>
    <row r="1035" spans="1:10" x14ac:dyDescent="0.25">
      <c r="A1035" t="s">
        <v>399</v>
      </c>
      <c r="B1035" t="s">
        <v>399</v>
      </c>
      <c r="C1035" t="s">
        <v>618</v>
      </c>
      <c r="D1035">
        <v>766753</v>
      </c>
      <c r="E1035" t="s">
        <v>10</v>
      </c>
      <c r="F1035">
        <v>19.337</v>
      </c>
      <c r="G1035">
        <v>-99.566000000000003</v>
      </c>
      <c r="H1035">
        <v>-6</v>
      </c>
      <c r="I1035">
        <v>2580.4</v>
      </c>
      <c r="J1035" t="str">
        <f>HYPERLINK("https://climate.onebuilding.org/WMO_Region_4_North_and_Central_America/MEX_Mexico/MEX_Mexico/MEX_MEX_Toluca-Mateos.Intl.AP.766753_TMYx.2009-2023.zip")</f>
        <v>https://climate.onebuilding.org/WMO_Region_4_North_and_Central_America/MEX_Mexico/MEX_Mexico/MEX_MEX_Toluca-Mateos.Intl.AP.766753_TMYx.2009-2023.zip</v>
      </c>
    </row>
    <row r="1036" spans="1:10" x14ac:dyDescent="0.25">
      <c r="A1036" t="s">
        <v>399</v>
      </c>
      <c r="B1036" t="s">
        <v>399</v>
      </c>
      <c r="C1036" t="s">
        <v>618</v>
      </c>
      <c r="D1036">
        <v>766753</v>
      </c>
      <c r="E1036" t="s">
        <v>10</v>
      </c>
      <c r="F1036">
        <v>19.337</v>
      </c>
      <c r="G1036">
        <v>-99.566000000000003</v>
      </c>
      <c r="H1036">
        <v>-6</v>
      </c>
      <c r="I1036">
        <v>2580.4</v>
      </c>
      <c r="J1036" t="str">
        <f>HYPERLINK("https://climate.onebuilding.org/WMO_Region_4_North_and_Central_America/MEX_Mexico/MEX_Mexico/MEX_MEX_Toluca-Mateos.Intl.AP.766753_TMYx.zip")</f>
        <v>https://climate.onebuilding.org/WMO_Region_4_North_and_Central_America/MEX_Mexico/MEX_Mexico/MEX_MEX_Toluca-Mateos.Intl.AP.766753_TMYx.zip</v>
      </c>
    </row>
    <row r="1037" spans="1:10" x14ac:dyDescent="0.25">
      <c r="A1037" t="s">
        <v>399</v>
      </c>
      <c r="B1037" t="s">
        <v>620</v>
      </c>
      <c r="C1037" t="s">
        <v>621</v>
      </c>
      <c r="D1037">
        <v>766793</v>
      </c>
      <c r="E1037" t="s">
        <v>622</v>
      </c>
      <c r="F1037">
        <v>19.433</v>
      </c>
      <c r="G1037">
        <v>-99.132999999999996</v>
      </c>
      <c r="H1037">
        <v>-6</v>
      </c>
      <c r="I1037">
        <v>2235</v>
      </c>
      <c r="J1037" t="str">
        <f>HYPERLINK("https://climate.onebuilding.org/WMO_Region_4_North_and_Central_America/MEX_Mexico/CMX_Cuidad_de_Mexico/MEX_CMX_Cuidad.Mexico-Mexico.City.Intl.AP-Juarez.Intl.AP.766793_TMYx.2004-2018.zip")</f>
        <v>https://climate.onebuilding.org/WMO_Region_4_North_and_Central_America/MEX_Mexico/CMX_Cuidad_de_Mexico/MEX_CMX_Cuidad.Mexico-Mexico.City.Intl.AP-Juarez.Intl.AP.766793_TMYx.2004-2018.zip</v>
      </c>
    </row>
    <row r="1038" spans="1:10" x14ac:dyDescent="0.25">
      <c r="A1038" t="s">
        <v>399</v>
      </c>
      <c r="B1038" t="s">
        <v>620</v>
      </c>
      <c r="C1038" t="s">
        <v>621</v>
      </c>
      <c r="D1038">
        <v>766793</v>
      </c>
      <c r="E1038" t="s">
        <v>10</v>
      </c>
      <c r="F1038">
        <v>19.436</v>
      </c>
      <c r="G1038">
        <v>-99.072000000000003</v>
      </c>
      <c r="H1038">
        <v>-6</v>
      </c>
      <c r="I1038">
        <v>2229.9</v>
      </c>
      <c r="J1038" t="str">
        <f>HYPERLINK("https://climate.onebuilding.org/WMO_Region_4_North_and_Central_America/MEX_Mexico/CMX_Cuidad_de_Mexico/MEX_CMX_Cuidad.Mexico-Mexico.City.Intl.AP-Juarez.Intl.AP.766793_TMYx.2007-2021.zip")</f>
        <v>https://climate.onebuilding.org/WMO_Region_4_North_and_Central_America/MEX_Mexico/CMX_Cuidad_de_Mexico/MEX_CMX_Cuidad.Mexico-Mexico.City.Intl.AP-Juarez.Intl.AP.766793_TMYx.2007-2021.zip</v>
      </c>
    </row>
    <row r="1039" spans="1:10" x14ac:dyDescent="0.25">
      <c r="A1039" t="s">
        <v>399</v>
      </c>
      <c r="B1039" t="s">
        <v>620</v>
      </c>
      <c r="C1039" t="s">
        <v>621</v>
      </c>
      <c r="D1039">
        <v>766793</v>
      </c>
      <c r="E1039" t="s">
        <v>10</v>
      </c>
      <c r="F1039">
        <v>19.436</v>
      </c>
      <c r="G1039">
        <v>-99.072000000000003</v>
      </c>
      <c r="H1039">
        <v>-6</v>
      </c>
      <c r="I1039">
        <v>2229.9</v>
      </c>
      <c r="J1039" t="str">
        <f>HYPERLINK("https://climate.onebuilding.org/WMO_Region_4_North_and_Central_America/MEX_Mexico/CMX_Cuidad_de_Mexico/MEX_CMX_Cuidad.Mexico-Mexico.City.Intl.AP-Juarez.Intl.AP.766793_TMYx.2009-2023.zip")</f>
        <v>https://climate.onebuilding.org/WMO_Region_4_North_and_Central_America/MEX_Mexico/CMX_Cuidad_de_Mexico/MEX_CMX_Cuidad.Mexico-Mexico.City.Intl.AP-Juarez.Intl.AP.766793_TMYx.2009-2023.zip</v>
      </c>
    </row>
    <row r="1040" spans="1:10" x14ac:dyDescent="0.25">
      <c r="A1040" t="s">
        <v>399</v>
      </c>
      <c r="B1040" t="s">
        <v>620</v>
      </c>
      <c r="C1040" t="s">
        <v>621</v>
      </c>
      <c r="D1040">
        <v>766793</v>
      </c>
      <c r="E1040" t="s">
        <v>10</v>
      </c>
      <c r="F1040">
        <v>19.436</v>
      </c>
      <c r="G1040">
        <v>-99.072000000000003</v>
      </c>
      <c r="H1040">
        <v>-6</v>
      </c>
      <c r="I1040">
        <v>2229.9</v>
      </c>
      <c r="J1040" t="str">
        <f>HYPERLINK("https://climate.onebuilding.org/WMO_Region_4_North_and_Central_America/MEX_Mexico/CMX_Cuidad_de_Mexico/MEX_CMX_Cuidad.Mexico-Mexico.City.Intl.AP-Juarez.Intl.AP.766793_TMYx.zip")</f>
        <v>https://climate.onebuilding.org/WMO_Region_4_North_and_Central_America/MEX_Mexico/CMX_Cuidad_de_Mexico/MEX_CMX_Cuidad.Mexico-Mexico.City.Intl.AP-Juarez.Intl.AP.766793_TMYx.zip</v>
      </c>
    </row>
    <row r="1041" spans="1:10" x14ac:dyDescent="0.25">
      <c r="A1041" t="s">
        <v>399</v>
      </c>
      <c r="B1041" t="s">
        <v>620</v>
      </c>
      <c r="C1041" t="s">
        <v>623</v>
      </c>
      <c r="D1041">
        <v>766800</v>
      </c>
      <c r="E1041" t="s">
        <v>624</v>
      </c>
      <c r="F1041">
        <v>19.399999999999999</v>
      </c>
      <c r="G1041">
        <v>-99.183000000000007</v>
      </c>
      <c r="H1041">
        <v>-6</v>
      </c>
      <c r="I1041">
        <v>2303</v>
      </c>
      <c r="J1041" t="str">
        <f>HYPERLINK("https://climate.onebuilding.org/WMO_Region_4_North_and_Central_America/MEX_Mexico/CMX_Cuidad_de_Mexico/MEX_CMX_Cuidad.Mexico.Central.766800_TMYx.2004-2018.zip")</f>
        <v>https://climate.onebuilding.org/WMO_Region_4_North_and_Central_America/MEX_Mexico/CMX_Cuidad_de_Mexico/MEX_CMX_Cuidad.Mexico.Central.766800_TMYx.2004-2018.zip</v>
      </c>
    </row>
    <row r="1042" spans="1:10" x14ac:dyDescent="0.25">
      <c r="A1042" t="s">
        <v>399</v>
      </c>
      <c r="B1042" t="s">
        <v>620</v>
      </c>
      <c r="C1042" t="s">
        <v>623</v>
      </c>
      <c r="D1042">
        <v>766800</v>
      </c>
      <c r="E1042" t="s">
        <v>10</v>
      </c>
      <c r="F1042">
        <v>19.399999999999999</v>
      </c>
      <c r="G1042">
        <v>-99.183000000000007</v>
      </c>
      <c r="H1042">
        <v>-6</v>
      </c>
      <c r="I1042">
        <v>2303</v>
      </c>
      <c r="J1042" t="str">
        <f>HYPERLINK("https://climate.onebuilding.org/WMO_Region_4_North_and_Central_America/MEX_Mexico/CMX_Cuidad_de_Mexico/MEX_CMX_Cuidad.Mexico.Central.766800_TMYx.2007-2021.zip")</f>
        <v>https://climate.onebuilding.org/WMO_Region_4_North_and_Central_America/MEX_Mexico/CMX_Cuidad_de_Mexico/MEX_CMX_Cuidad.Mexico.Central.766800_TMYx.2007-2021.zip</v>
      </c>
    </row>
    <row r="1043" spans="1:10" x14ac:dyDescent="0.25">
      <c r="A1043" t="s">
        <v>399</v>
      </c>
      <c r="B1043" t="s">
        <v>620</v>
      </c>
      <c r="C1043" t="s">
        <v>623</v>
      </c>
      <c r="D1043">
        <v>766800</v>
      </c>
      <c r="E1043" t="s">
        <v>10</v>
      </c>
      <c r="F1043">
        <v>19.399999999999999</v>
      </c>
      <c r="G1043">
        <v>-99.183000000000007</v>
      </c>
      <c r="H1043">
        <v>-6</v>
      </c>
      <c r="I1043">
        <v>2303</v>
      </c>
      <c r="J1043" t="str">
        <f>HYPERLINK("https://climate.onebuilding.org/WMO_Region_4_North_and_Central_America/MEX_Mexico/CMX_Cuidad_de_Mexico/MEX_CMX_Cuidad.Mexico.Central.766800_TMYx.2009-2023.zip")</f>
        <v>https://climate.onebuilding.org/WMO_Region_4_North_and_Central_America/MEX_Mexico/CMX_Cuidad_de_Mexico/MEX_CMX_Cuidad.Mexico.Central.766800_TMYx.2009-2023.zip</v>
      </c>
    </row>
    <row r="1044" spans="1:10" x14ac:dyDescent="0.25">
      <c r="A1044" t="s">
        <v>399</v>
      </c>
      <c r="B1044" t="s">
        <v>620</v>
      </c>
      <c r="C1044" t="s">
        <v>623</v>
      </c>
      <c r="D1044">
        <v>766800</v>
      </c>
      <c r="E1044" t="s">
        <v>10</v>
      </c>
      <c r="F1044">
        <v>19.399999999999999</v>
      </c>
      <c r="G1044">
        <v>-99.183000000000007</v>
      </c>
      <c r="H1044">
        <v>-6</v>
      </c>
      <c r="I1044">
        <v>2303</v>
      </c>
      <c r="J1044" t="str">
        <f>HYPERLINK("https://climate.onebuilding.org/WMO_Region_4_North_and_Central_America/MEX_Mexico/CMX_Cuidad_de_Mexico/MEX_CMX_Cuidad.Mexico.Central.766800_TMYx.zip")</f>
        <v>https://climate.onebuilding.org/WMO_Region_4_North_and_Central_America/MEX_Mexico/CMX_Cuidad_de_Mexico/MEX_CMX_Cuidad.Mexico.Central.766800_TMYx.zip</v>
      </c>
    </row>
    <row r="1045" spans="1:10" x14ac:dyDescent="0.25">
      <c r="A1045" t="s">
        <v>399</v>
      </c>
      <c r="B1045" t="s">
        <v>399</v>
      </c>
      <c r="C1045" t="s">
        <v>625</v>
      </c>
      <c r="D1045">
        <v>766810</v>
      </c>
      <c r="E1045" t="s">
        <v>626</v>
      </c>
      <c r="F1045">
        <v>19.317</v>
      </c>
      <c r="G1045">
        <v>-99.183000000000007</v>
      </c>
      <c r="H1045">
        <v>-6</v>
      </c>
      <c r="I1045">
        <v>2278</v>
      </c>
      <c r="J1045" t="str">
        <f>HYPERLINK("https://climate.onebuilding.org/WMO_Region_4_North_and_Central_America/MEX_Mexico/MEX_Mexico/MEX_MEX_Ciudad.Universitaria-Geografia.Univ.766810_TMYx.2004-2018.zip")</f>
        <v>https://climate.onebuilding.org/WMO_Region_4_North_and_Central_America/MEX_Mexico/MEX_Mexico/MEX_MEX_Ciudad.Universitaria-Geografia.Univ.766810_TMYx.2004-2018.zip</v>
      </c>
    </row>
    <row r="1046" spans="1:10" x14ac:dyDescent="0.25">
      <c r="A1046" t="s">
        <v>399</v>
      </c>
      <c r="B1046" t="s">
        <v>399</v>
      </c>
      <c r="C1046" t="s">
        <v>625</v>
      </c>
      <c r="D1046">
        <v>766810</v>
      </c>
      <c r="E1046" t="s">
        <v>10</v>
      </c>
      <c r="F1046">
        <v>19.317</v>
      </c>
      <c r="G1046">
        <v>-99.183000000000007</v>
      </c>
      <c r="H1046">
        <v>-6</v>
      </c>
      <c r="I1046">
        <v>2278</v>
      </c>
      <c r="J1046" t="str">
        <f>HYPERLINK("https://climate.onebuilding.org/WMO_Region_4_North_and_Central_America/MEX_Mexico/MEX_Mexico/MEX_MEX_Ciudad.Universitaria-Geografia.Univ.766810_TMYx.2007-2021.zip")</f>
        <v>https://climate.onebuilding.org/WMO_Region_4_North_and_Central_America/MEX_Mexico/MEX_Mexico/MEX_MEX_Ciudad.Universitaria-Geografia.Univ.766810_TMYx.2007-2021.zip</v>
      </c>
    </row>
    <row r="1047" spans="1:10" x14ac:dyDescent="0.25">
      <c r="A1047" t="s">
        <v>399</v>
      </c>
      <c r="B1047" t="s">
        <v>399</v>
      </c>
      <c r="C1047" t="s">
        <v>625</v>
      </c>
      <c r="D1047">
        <v>766810</v>
      </c>
      <c r="E1047" t="s">
        <v>10</v>
      </c>
      <c r="F1047">
        <v>19.317</v>
      </c>
      <c r="G1047">
        <v>-99.183000000000007</v>
      </c>
      <c r="H1047">
        <v>-6</v>
      </c>
      <c r="I1047">
        <v>2278</v>
      </c>
      <c r="J1047" t="str">
        <f>HYPERLINK("https://climate.onebuilding.org/WMO_Region_4_North_and_Central_America/MEX_Mexico/MEX_Mexico/MEX_MEX_Ciudad.Universitaria-Geografia.Univ.766810_TMYx.2009-2023.zip")</f>
        <v>https://climate.onebuilding.org/WMO_Region_4_North_and_Central_America/MEX_Mexico/MEX_Mexico/MEX_MEX_Ciudad.Universitaria-Geografia.Univ.766810_TMYx.2009-2023.zip</v>
      </c>
    </row>
    <row r="1048" spans="1:10" x14ac:dyDescent="0.25">
      <c r="A1048" t="s">
        <v>399</v>
      </c>
      <c r="B1048" t="s">
        <v>399</v>
      </c>
      <c r="C1048" t="s">
        <v>625</v>
      </c>
      <c r="D1048">
        <v>766810</v>
      </c>
      <c r="E1048" t="s">
        <v>10</v>
      </c>
      <c r="F1048">
        <v>19.317</v>
      </c>
      <c r="G1048">
        <v>-99.183000000000007</v>
      </c>
      <c r="H1048">
        <v>-6</v>
      </c>
      <c r="I1048">
        <v>2278</v>
      </c>
      <c r="J1048" t="str">
        <f>HYPERLINK("https://climate.onebuilding.org/WMO_Region_4_North_and_Central_America/MEX_Mexico/MEX_Mexico/MEX_MEX_Ciudad.Universitaria-Geografia.Univ.766810_TMYx.zip")</f>
        <v>https://climate.onebuilding.org/WMO_Region_4_North_and_Central_America/MEX_Mexico/MEX_Mexico/MEX_MEX_Ciudad.Universitaria-Geografia.Univ.766810_TMYx.zip</v>
      </c>
    </row>
    <row r="1049" spans="1:10" x14ac:dyDescent="0.25">
      <c r="A1049" t="s">
        <v>399</v>
      </c>
      <c r="B1049" t="s">
        <v>627</v>
      </c>
      <c r="C1049" t="s">
        <v>628</v>
      </c>
      <c r="D1049">
        <v>766830</v>
      </c>
      <c r="E1049" t="s">
        <v>629</v>
      </c>
      <c r="F1049">
        <v>19.317</v>
      </c>
      <c r="G1049">
        <v>-98.25</v>
      </c>
      <c r="H1049">
        <v>-6</v>
      </c>
      <c r="I1049">
        <v>2248</v>
      </c>
      <c r="J1049" t="str">
        <f>HYPERLINK("https://climate.onebuilding.org/WMO_Region_4_North_and_Central_America/MEX_Mexico/TLA_Tlaxcala/MEX_TLA_Tlaxcala.766830_TMYx.2004-2018.zip")</f>
        <v>https://climate.onebuilding.org/WMO_Region_4_North_and_Central_America/MEX_Mexico/TLA_Tlaxcala/MEX_TLA_Tlaxcala.766830_TMYx.2004-2018.zip</v>
      </c>
    </row>
    <row r="1050" spans="1:10" x14ac:dyDescent="0.25">
      <c r="A1050" t="s">
        <v>399</v>
      </c>
      <c r="B1050" t="s">
        <v>627</v>
      </c>
      <c r="C1050" t="s">
        <v>628</v>
      </c>
      <c r="D1050">
        <v>766830</v>
      </c>
      <c r="E1050" t="s">
        <v>10</v>
      </c>
      <c r="F1050">
        <v>19.324999999999999</v>
      </c>
      <c r="G1050">
        <v>-98.247200000000007</v>
      </c>
      <c r="H1050">
        <v>-6</v>
      </c>
      <c r="I1050">
        <v>2248</v>
      </c>
      <c r="J1050" t="str">
        <f>HYPERLINK("https://climate.onebuilding.org/WMO_Region_4_North_and_Central_America/MEX_Mexico/TLA_Tlaxcala/MEX_TLA_Tlaxcala.766830_TMYx.2007-2021.zip")</f>
        <v>https://climate.onebuilding.org/WMO_Region_4_North_and_Central_America/MEX_Mexico/TLA_Tlaxcala/MEX_TLA_Tlaxcala.766830_TMYx.2007-2021.zip</v>
      </c>
    </row>
    <row r="1051" spans="1:10" x14ac:dyDescent="0.25">
      <c r="A1051" t="s">
        <v>399</v>
      </c>
      <c r="B1051" t="s">
        <v>627</v>
      </c>
      <c r="C1051" t="s">
        <v>628</v>
      </c>
      <c r="D1051">
        <v>766830</v>
      </c>
      <c r="E1051" t="s">
        <v>10</v>
      </c>
      <c r="F1051">
        <v>19.324999999999999</v>
      </c>
      <c r="G1051">
        <v>-98.247200000000007</v>
      </c>
      <c r="H1051">
        <v>-6</v>
      </c>
      <c r="I1051">
        <v>2248</v>
      </c>
      <c r="J1051" t="str">
        <f>HYPERLINK("https://climate.onebuilding.org/WMO_Region_4_North_and_Central_America/MEX_Mexico/TLA_Tlaxcala/MEX_TLA_Tlaxcala.766830_TMYx.2009-2023.zip")</f>
        <v>https://climate.onebuilding.org/WMO_Region_4_North_and_Central_America/MEX_Mexico/TLA_Tlaxcala/MEX_TLA_Tlaxcala.766830_TMYx.2009-2023.zip</v>
      </c>
    </row>
    <row r="1052" spans="1:10" x14ac:dyDescent="0.25">
      <c r="A1052" t="s">
        <v>399</v>
      </c>
      <c r="B1052" t="s">
        <v>627</v>
      </c>
      <c r="C1052" t="s">
        <v>628</v>
      </c>
      <c r="D1052">
        <v>766830</v>
      </c>
      <c r="E1052" t="s">
        <v>10</v>
      </c>
      <c r="F1052">
        <v>19.324999999999999</v>
      </c>
      <c r="G1052">
        <v>-98.247200000000007</v>
      </c>
      <c r="H1052">
        <v>-6</v>
      </c>
      <c r="I1052">
        <v>2248</v>
      </c>
      <c r="J1052" t="str">
        <f>HYPERLINK("https://climate.onebuilding.org/WMO_Region_4_North_and_Central_America/MEX_Mexico/TLA_Tlaxcala/MEX_TLA_Tlaxcala.766830_TMYx.zip")</f>
        <v>https://climate.onebuilding.org/WMO_Region_4_North_and_Central_America/MEX_Mexico/TLA_Tlaxcala/MEX_TLA_Tlaxcala.766830_TMYx.zip</v>
      </c>
    </row>
    <row r="1053" spans="1:10" x14ac:dyDescent="0.25">
      <c r="A1053" t="s">
        <v>399</v>
      </c>
      <c r="B1053" t="s">
        <v>630</v>
      </c>
      <c r="C1053" t="s">
        <v>631</v>
      </c>
      <c r="D1053">
        <v>766850</v>
      </c>
      <c r="E1053" t="s">
        <v>632</v>
      </c>
      <c r="F1053">
        <v>19.158000000000001</v>
      </c>
      <c r="G1053">
        <v>-98.370999999999995</v>
      </c>
      <c r="H1053">
        <v>-6</v>
      </c>
      <c r="I1053">
        <v>2243.6</v>
      </c>
      <c r="J1053" t="str">
        <f>HYPERLINK("https://climate.onebuilding.org/WMO_Region_4_North_and_Central_America/MEX_Mexico/PUE_Puebla/MEX_PUE_Puebla.766850_TMYx.2004-2018.zip")</f>
        <v>https://climate.onebuilding.org/WMO_Region_4_North_and_Central_America/MEX_Mexico/PUE_Puebla/MEX_PUE_Puebla.766850_TMYx.2004-2018.zip</v>
      </c>
    </row>
    <row r="1054" spans="1:10" x14ac:dyDescent="0.25">
      <c r="A1054" t="s">
        <v>399</v>
      </c>
      <c r="B1054" t="s">
        <v>630</v>
      </c>
      <c r="C1054" t="s">
        <v>631</v>
      </c>
      <c r="D1054">
        <v>766850</v>
      </c>
      <c r="E1054" t="s">
        <v>10</v>
      </c>
      <c r="F1054">
        <v>19.055</v>
      </c>
      <c r="G1054">
        <v>-98.163300000000007</v>
      </c>
      <c r="H1054">
        <v>-6</v>
      </c>
      <c r="I1054">
        <v>2179</v>
      </c>
      <c r="J1054" t="str">
        <f>HYPERLINK("https://climate.onebuilding.org/WMO_Region_4_North_and_Central_America/MEX_Mexico/PUE_Puebla/MEX_PUE_Puebla.766850_TMYx.2007-2021.zip")</f>
        <v>https://climate.onebuilding.org/WMO_Region_4_North_and_Central_America/MEX_Mexico/PUE_Puebla/MEX_PUE_Puebla.766850_TMYx.2007-2021.zip</v>
      </c>
    </row>
    <row r="1055" spans="1:10" x14ac:dyDescent="0.25">
      <c r="A1055" t="s">
        <v>399</v>
      </c>
      <c r="B1055" t="s">
        <v>630</v>
      </c>
      <c r="C1055" t="s">
        <v>631</v>
      </c>
      <c r="D1055">
        <v>766850</v>
      </c>
      <c r="E1055" t="s">
        <v>10</v>
      </c>
      <c r="F1055">
        <v>19.055</v>
      </c>
      <c r="G1055">
        <v>-98.163300000000007</v>
      </c>
      <c r="H1055">
        <v>-6</v>
      </c>
      <c r="I1055">
        <v>2179</v>
      </c>
      <c r="J1055" t="str">
        <f>HYPERLINK("https://climate.onebuilding.org/WMO_Region_4_North_and_Central_America/MEX_Mexico/PUE_Puebla/MEX_PUE_Puebla.766850_TMYx.2009-2023.zip")</f>
        <v>https://climate.onebuilding.org/WMO_Region_4_North_and_Central_America/MEX_Mexico/PUE_Puebla/MEX_PUE_Puebla.766850_TMYx.2009-2023.zip</v>
      </c>
    </row>
    <row r="1056" spans="1:10" x14ac:dyDescent="0.25">
      <c r="A1056" t="s">
        <v>399</v>
      </c>
      <c r="B1056" t="s">
        <v>630</v>
      </c>
      <c r="C1056" t="s">
        <v>631</v>
      </c>
      <c r="D1056">
        <v>766850</v>
      </c>
      <c r="E1056" t="s">
        <v>10</v>
      </c>
      <c r="F1056">
        <v>19.055</v>
      </c>
      <c r="G1056">
        <v>-98.163300000000007</v>
      </c>
      <c r="H1056">
        <v>-6</v>
      </c>
      <c r="I1056">
        <v>2179</v>
      </c>
      <c r="J1056" t="str">
        <f>HYPERLINK("https://climate.onebuilding.org/WMO_Region_4_North_and_Central_America/MEX_Mexico/PUE_Puebla/MEX_PUE_Puebla.766850_TMYx.zip")</f>
        <v>https://climate.onebuilding.org/WMO_Region_4_North_and_Central_America/MEX_Mexico/PUE_Puebla/MEX_PUE_Puebla.766850_TMYx.zip</v>
      </c>
    </row>
    <row r="1057" spans="1:10" x14ac:dyDescent="0.25">
      <c r="A1057" t="s">
        <v>399</v>
      </c>
      <c r="B1057" t="s">
        <v>553</v>
      </c>
      <c r="C1057" t="s">
        <v>633</v>
      </c>
      <c r="D1057">
        <v>766870</v>
      </c>
      <c r="E1057" t="s">
        <v>634</v>
      </c>
      <c r="F1057">
        <v>19.55</v>
      </c>
      <c r="G1057">
        <v>-96.917000000000002</v>
      </c>
      <c r="H1057">
        <v>-6</v>
      </c>
      <c r="I1057">
        <v>1389</v>
      </c>
      <c r="J1057" t="str">
        <f>HYPERLINK("https://climate.onebuilding.org/WMO_Region_4_North_and_Central_America/MEX_Mexico/VER_Veracruz/MEX_VER_Xalapa.766870_TMYx.2004-2018.zip")</f>
        <v>https://climate.onebuilding.org/WMO_Region_4_North_and_Central_America/MEX_Mexico/VER_Veracruz/MEX_VER_Xalapa.766870_TMYx.2004-2018.zip</v>
      </c>
    </row>
    <row r="1058" spans="1:10" x14ac:dyDescent="0.25">
      <c r="A1058" t="s">
        <v>399</v>
      </c>
      <c r="B1058" t="s">
        <v>553</v>
      </c>
      <c r="C1058" t="s">
        <v>633</v>
      </c>
      <c r="D1058">
        <v>766870</v>
      </c>
      <c r="E1058" t="s">
        <v>10</v>
      </c>
      <c r="F1058">
        <v>19.512499999999999</v>
      </c>
      <c r="G1058">
        <v>-96.904200000000003</v>
      </c>
      <c r="H1058">
        <v>-6</v>
      </c>
      <c r="I1058">
        <v>1360</v>
      </c>
      <c r="J1058" t="str">
        <f>HYPERLINK("https://climate.onebuilding.org/WMO_Region_4_North_and_Central_America/MEX_Mexico/VER_Veracruz/MEX_VER_Xalapa.766870_TMYx.2007-2021.zip")</f>
        <v>https://climate.onebuilding.org/WMO_Region_4_North_and_Central_America/MEX_Mexico/VER_Veracruz/MEX_VER_Xalapa.766870_TMYx.2007-2021.zip</v>
      </c>
    </row>
    <row r="1059" spans="1:10" x14ac:dyDescent="0.25">
      <c r="A1059" t="s">
        <v>399</v>
      </c>
      <c r="B1059" t="s">
        <v>553</v>
      </c>
      <c r="C1059" t="s">
        <v>633</v>
      </c>
      <c r="D1059">
        <v>766870</v>
      </c>
      <c r="E1059" t="s">
        <v>10</v>
      </c>
      <c r="F1059">
        <v>19.512499999999999</v>
      </c>
      <c r="G1059">
        <v>-96.904200000000003</v>
      </c>
      <c r="H1059">
        <v>-6</v>
      </c>
      <c r="I1059">
        <v>1360</v>
      </c>
      <c r="J1059" t="str">
        <f>HYPERLINK("https://climate.onebuilding.org/WMO_Region_4_North_and_Central_America/MEX_Mexico/VER_Veracruz/MEX_VER_Xalapa.766870_TMYx.2009-2023.zip")</f>
        <v>https://climate.onebuilding.org/WMO_Region_4_North_and_Central_America/MEX_Mexico/VER_Veracruz/MEX_VER_Xalapa.766870_TMYx.2009-2023.zip</v>
      </c>
    </row>
    <row r="1060" spans="1:10" x14ac:dyDescent="0.25">
      <c r="A1060" t="s">
        <v>399</v>
      </c>
      <c r="B1060" t="s">
        <v>553</v>
      </c>
      <c r="C1060" t="s">
        <v>633</v>
      </c>
      <c r="D1060">
        <v>766870</v>
      </c>
      <c r="E1060" t="s">
        <v>10</v>
      </c>
      <c r="F1060">
        <v>19.512499999999999</v>
      </c>
      <c r="G1060">
        <v>-96.904200000000003</v>
      </c>
      <c r="H1060">
        <v>-6</v>
      </c>
      <c r="I1060">
        <v>1360</v>
      </c>
      <c r="J1060" t="str">
        <f>HYPERLINK("https://climate.onebuilding.org/WMO_Region_4_North_and_Central_America/MEX_Mexico/VER_Veracruz/MEX_VER_Xalapa.766870_TMYx.zip")</f>
        <v>https://climate.onebuilding.org/WMO_Region_4_North_and_Central_America/MEX_Mexico/VER_Veracruz/MEX_VER_Xalapa.766870_TMYx.zip</v>
      </c>
    </row>
    <row r="1061" spans="1:10" x14ac:dyDescent="0.25">
      <c r="A1061" t="s">
        <v>399</v>
      </c>
      <c r="B1061" t="s">
        <v>553</v>
      </c>
      <c r="C1061" t="s">
        <v>635</v>
      </c>
      <c r="D1061">
        <v>766875</v>
      </c>
      <c r="E1061" t="s">
        <v>18</v>
      </c>
      <c r="F1061">
        <v>19.475000000000001</v>
      </c>
      <c r="G1061">
        <v>-96.798000000000002</v>
      </c>
      <c r="H1061">
        <v>-6</v>
      </c>
      <c r="I1061">
        <v>953.1</v>
      </c>
      <c r="J1061" t="str">
        <f>HYPERLINK("https://climate.onebuilding.org/WMO_Region_4_North_and_Central_America/MEX_Mexico/VER_Veracruz/MEX_VER_Lencero.766875_TMYx.2007-2021.zip")</f>
        <v>https://climate.onebuilding.org/WMO_Region_4_North_and_Central_America/MEX_Mexico/VER_Veracruz/MEX_VER_Lencero.766875_TMYx.2007-2021.zip</v>
      </c>
    </row>
    <row r="1062" spans="1:10" x14ac:dyDescent="0.25">
      <c r="A1062" t="s">
        <v>399</v>
      </c>
      <c r="B1062" t="s">
        <v>553</v>
      </c>
      <c r="C1062" t="s">
        <v>635</v>
      </c>
      <c r="D1062">
        <v>766875</v>
      </c>
      <c r="E1062" t="s">
        <v>18</v>
      </c>
      <c r="F1062">
        <v>19.475000000000001</v>
      </c>
      <c r="G1062">
        <v>-96.798000000000002</v>
      </c>
      <c r="H1062">
        <v>-6</v>
      </c>
      <c r="I1062">
        <v>953.1</v>
      </c>
      <c r="J1062" t="str">
        <f>HYPERLINK("https://climate.onebuilding.org/WMO_Region_4_North_and_Central_America/MEX_Mexico/VER_Veracruz/MEX_VER_Lencero.766875_TMYx.2009-2023.zip")</f>
        <v>https://climate.onebuilding.org/WMO_Region_4_North_and_Central_America/MEX_Mexico/VER_Veracruz/MEX_VER_Lencero.766875_TMYx.2009-2023.zip</v>
      </c>
    </row>
    <row r="1063" spans="1:10" x14ac:dyDescent="0.25">
      <c r="A1063" t="s">
        <v>399</v>
      </c>
      <c r="B1063" t="s">
        <v>553</v>
      </c>
      <c r="C1063" t="s">
        <v>635</v>
      </c>
      <c r="D1063">
        <v>766875</v>
      </c>
      <c r="E1063" t="s">
        <v>18</v>
      </c>
      <c r="F1063">
        <v>19.475000000000001</v>
      </c>
      <c r="G1063">
        <v>-96.798000000000002</v>
      </c>
      <c r="H1063">
        <v>-6</v>
      </c>
      <c r="I1063">
        <v>953.1</v>
      </c>
      <c r="J1063" t="str">
        <f>HYPERLINK("https://climate.onebuilding.org/WMO_Region_4_North_and_Central_America/MEX_Mexico/VER_Veracruz/MEX_VER_Lencero.766875_TMYx.zip")</f>
        <v>https://climate.onebuilding.org/WMO_Region_4_North_and_Central_America/MEX_Mexico/VER_Veracruz/MEX_VER_Lencero.766875_TMYx.zip</v>
      </c>
    </row>
    <row r="1064" spans="1:10" x14ac:dyDescent="0.25">
      <c r="A1064" t="s">
        <v>399</v>
      </c>
      <c r="B1064" t="s">
        <v>553</v>
      </c>
      <c r="C1064" t="s">
        <v>636</v>
      </c>
      <c r="D1064">
        <v>766910</v>
      </c>
      <c r="E1064" t="s">
        <v>10</v>
      </c>
      <c r="F1064">
        <v>19.2</v>
      </c>
      <c r="G1064">
        <v>-96.132999999999996</v>
      </c>
      <c r="H1064">
        <v>-6</v>
      </c>
      <c r="I1064">
        <v>14</v>
      </c>
      <c r="J1064" t="str">
        <f>HYPERLINK("https://climate.onebuilding.org/WMO_Region_4_North_and_Central_America/MEX_Mexico/VER_Veracruz/MEX_VER_Veracruz.766910_TMYx.zip")</f>
        <v>https://climate.onebuilding.org/WMO_Region_4_North_and_Central_America/MEX_Mexico/VER_Veracruz/MEX_VER_Veracruz.766910_TMYx.zip</v>
      </c>
    </row>
    <row r="1065" spans="1:10" x14ac:dyDescent="0.25">
      <c r="A1065" t="s">
        <v>399</v>
      </c>
      <c r="B1065" t="s">
        <v>553</v>
      </c>
      <c r="C1065" t="s">
        <v>637</v>
      </c>
      <c r="D1065">
        <v>766913</v>
      </c>
      <c r="E1065" t="s">
        <v>638</v>
      </c>
      <c r="F1065">
        <v>19</v>
      </c>
      <c r="G1065">
        <v>-96.186999999999998</v>
      </c>
      <c r="H1065">
        <v>-6</v>
      </c>
      <c r="I1065">
        <v>87</v>
      </c>
      <c r="J1065" t="str">
        <f>HYPERLINK("https://climate.onebuilding.org/WMO_Region_4_North_and_Central_America/MEX_Mexico/VER_Veracruz/MEX_VER_Veracruz-Jara.Intl.AP.766913_TMYx.2004-2018.zip")</f>
        <v>https://climate.onebuilding.org/WMO_Region_4_North_and_Central_America/MEX_Mexico/VER_Veracruz/MEX_VER_Veracruz-Jara.Intl.AP.766913_TMYx.2004-2018.zip</v>
      </c>
    </row>
    <row r="1066" spans="1:10" x14ac:dyDescent="0.25">
      <c r="A1066" t="s">
        <v>399</v>
      </c>
      <c r="B1066" t="s">
        <v>553</v>
      </c>
      <c r="C1066" t="s">
        <v>637</v>
      </c>
      <c r="D1066">
        <v>766913</v>
      </c>
      <c r="E1066" t="s">
        <v>10</v>
      </c>
      <c r="F1066">
        <v>19.146000000000001</v>
      </c>
      <c r="G1066">
        <v>-96.186999999999998</v>
      </c>
      <c r="H1066">
        <v>-6</v>
      </c>
      <c r="I1066">
        <v>27</v>
      </c>
      <c r="J1066" t="str">
        <f>HYPERLINK("https://climate.onebuilding.org/WMO_Region_4_North_and_Central_America/MEX_Mexico/VER_Veracruz/MEX_VER_Veracruz-Jara.Intl.AP.766913_TMYx.2007-2021.zip")</f>
        <v>https://climate.onebuilding.org/WMO_Region_4_North_and_Central_America/MEX_Mexico/VER_Veracruz/MEX_VER_Veracruz-Jara.Intl.AP.766913_TMYx.2007-2021.zip</v>
      </c>
    </row>
    <row r="1067" spans="1:10" x14ac:dyDescent="0.25">
      <c r="A1067" t="s">
        <v>399</v>
      </c>
      <c r="B1067" t="s">
        <v>553</v>
      </c>
      <c r="C1067" t="s">
        <v>637</v>
      </c>
      <c r="D1067">
        <v>766913</v>
      </c>
      <c r="E1067" t="s">
        <v>10</v>
      </c>
      <c r="F1067">
        <v>19.146000000000001</v>
      </c>
      <c r="G1067">
        <v>-96.186999999999998</v>
      </c>
      <c r="H1067">
        <v>-6</v>
      </c>
      <c r="I1067">
        <v>27</v>
      </c>
      <c r="J1067" t="str">
        <f>HYPERLINK("https://climate.onebuilding.org/WMO_Region_4_North_and_Central_America/MEX_Mexico/VER_Veracruz/MEX_VER_Veracruz-Jara.Intl.AP.766913_TMYx.2009-2023.zip")</f>
        <v>https://climate.onebuilding.org/WMO_Region_4_North_and_Central_America/MEX_Mexico/VER_Veracruz/MEX_VER_Veracruz-Jara.Intl.AP.766913_TMYx.2009-2023.zip</v>
      </c>
    </row>
    <row r="1068" spans="1:10" x14ac:dyDescent="0.25">
      <c r="A1068" t="s">
        <v>399</v>
      </c>
      <c r="B1068" t="s">
        <v>553</v>
      </c>
      <c r="C1068" t="s">
        <v>637</v>
      </c>
      <c r="D1068">
        <v>766913</v>
      </c>
      <c r="E1068" t="s">
        <v>10</v>
      </c>
      <c r="F1068">
        <v>19.146000000000001</v>
      </c>
      <c r="G1068">
        <v>-96.186999999999998</v>
      </c>
      <c r="H1068">
        <v>-6</v>
      </c>
      <c r="I1068">
        <v>27</v>
      </c>
      <c r="J1068" t="str">
        <f>HYPERLINK("https://climate.onebuilding.org/WMO_Region_4_North_and_Central_America/MEX_Mexico/VER_Veracruz/MEX_VER_Veracruz-Jara.Intl.AP.766913_TMYx.zip")</f>
        <v>https://climate.onebuilding.org/WMO_Region_4_North_and_Central_America/MEX_Mexico/VER_Veracruz/MEX_VER_Veracruz-Jara.Intl.AP.766913_TMYx.zip</v>
      </c>
    </row>
    <row r="1069" spans="1:10" x14ac:dyDescent="0.25">
      <c r="A1069" t="s">
        <v>399</v>
      </c>
      <c r="B1069" t="s">
        <v>553</v>
      </c>
      <c r="C1069" t="s">
        <v>639</v>
      </c>
      <c r="D1069">
        <v>766920</v>
      </c>
      <c r="E1069" t="s">
        <v>640</v>
      </c>
      <c r="F1069">
        <v>19.13</v>
      </c>
      <c r="G1069">
        <v>-96.11</v>
      </c>
      <c r="H1069">
        <v>-6</v>
      </c>
      <c r="I1069">
        <v>16</v>
      </c>
      <c r="J1069" t="str">
        <f>HYPERLINK("https://climate.onebuilding.org/WMO_Region_4_North_and_Central_America/MEX_Mexico/VER_Veracruz/MEX_VER_Veracruz-Hacienda.Ylang.Ylang.766920_TMYx.2004-2018.zip")</f>
        <v>https://climate.onebuilding.org/WMO_Region_4_North_and_Central_America/MEX_Mexico/VER_Veracruz/MEX_VER_Veracruz-Hacienda.Ylang.Ylang.766920_TMYx.2004-2018.zip</v>
      </c>
    </row>
    <row r="1070" spans="1:10" x14ac:dyDescent="0.25">
      <c r="A1070" t="s">
        <v>399</v>
      </c>
      <c r="B1070" t="s">
        <v>553</v>
      </c>
      <c r="C1070" t="s">
        <v>639</v>
      </c>
      <c r="D1070">
        <v>766920</v>
      </c>
      <c r="E1070" t="s">
        <v>10</v>
      </c>
      <c r="F1070">
        <v>19.1431</v>
      </c>
      <c r="G1070">
        <v>-96.111400000000003</v>
      </c>
      <c r="H1070">
        <v>-6</v>
      </c>
      <c r="I1070">
        <v>19</v>
      </c>
      <c r="J1070" t="str">
        <f>HYPERLINK("https://climate.onebuilding.org/WMO_Region_4_North_and_Central_America/MEX_Mexico/VER_Veracruz/MEX_VER_Veracruz-Hacienda.Ylang.Ylang.766920_TMYx.2007-2021.zip")</f>
        <v>https://climate.onebuilding.org/WMO_Region_4_North_and_Central_America/MEX_Mexico/VER_Veracruz/MEX_VER_Veracruz-Hacienda.Ylang.Ylang.766920_TMYx.2007-2021.zip</v>
      </c>
    </row>
    <row r="1071" spans="1:10" x14ac:dyDescent="0.25">
      <c r="A1071" t="s">
        <v>399</v>
      </c>
      <c r="B1071" t="s">
        <v>553</v>
      </c>
      <c r="C1071" t="s">
        <v>639</v>
      </c>
      <c r="D1071">
        <v>766920</v>
      </c>
      <c r="E1071" t="s">
        <v>10</v>
      </c>
      <c r="F1071">
        <v>19.1431</v>
      </c>
      <c r="G1071">
        <v>-96.111400000000003</v>
      </c>
      <c r="H1071">
        <v>-6</v>
      </c>
      <c r="I1071">
        <v>19</v>
      </c>
      <c r="J1071" t="str">
        <f>HYPERLINK("https://climate.onebuilding.org/WMO_Region_4_North_and_Central_America/MEX_Mexico/VER_Veracruz/MEX_VER_Veracruz-Hacienda.Ylang.Ylang.766920_TMYx.2009-2023.zip")</f>
        <v>https://climate.onebuilding.org/WMO_Region_4_North_and_Central_America/MEX_Mexico/VER_Veracruz/MEX_VER_Veracruz-Hacienda.Ylang.Ylang.766920_TMYx.2009-2023.zip</v>
      </c>
    </row>
    <row r="1072" spans="1:10" x14ac:dyDescent="0.25">
      <c r="A1072" t="s">
        <v>399</v>
      </c>
      <c r="B1072" t="s">
        <v>553</v>
      </c>
      <c r="C1072" t="s">
        <v>639</v>
      </c>
      <c r="D1072">
        <v>766920</v>
      </c>
      <c r="E1072" t="s">
        <v>10</v>
      </c>
      <c r="F1072">
        <v>19.1431</v>
      </c>
      <c r="G1072">
        <v>-96.111400000000003</v>
      </c>
      <c r="H1072">
        <v>-6</v>
      </c>
      <c r="I1072">
        <v>19</v>
      </c>
      <c r="J1072" t="str">
        <f>HYPERLINK("https://climate.onebuilding.org/WMO_Region_4_North_and_Central_America/MEX_Mexico/VER_Veracruz/MEX_VER_Veracruz-Hacienda.Ylang.Ylang.766920_TMYx.zip")</f>
        <v>https://climate.onebuilding.org/WMO_Region_4_North_and_Central_America/MEX_Mexico/VER_Veracruz/MEX_VER_Veracruz-Hacienda.Ylang.Ylang.766920_TMYx.zip</v>
      </c>
    </row>
    <row r="1073" spans="1:10" x14ac:dyDescent="0.25">
      <c r="A1073" t="s">
        <v>399</v>
      </c>
      <c r="B1073" t="s">
        <v>641</v>
      </c>
      <c r="C1073" t="s">
        <v>642</v>
      </c>
      <c r="D1073">
        <v>766950</v>
      </c>
      <c r="E1073" t="s">
        <v>643</v>
      </c>
      <c r="F1073">
        <v>19.817</v>
      </c>
      <c r="G1073">
        <v>-90.5</v>
      </c>
      <c r="H1073">
        <v>-6</v>
      </c>
      <c r="I1073">
        <v>10.4</v>
      </c>
      <c r="J1073" t="str">
        <f>HYPERLINK("https://climate.onebuilding.org/WMO_Region_4_North_and_Central_America/MEX_Mexico/CAM_Campeche/MEX_CAM_Campeche-Ongay.Intl.AP.766950_TMYx.2004-2018.zip")</f>
        <v>https://climate.onebuilding.org/WMO_Region_4_North_and_Central_America/MEX_Mexico/CAM_Campeche/MEX_CAM_Campeche-Ongay.Intl.AP.766950_TMYx.2004-2018.zip</v>
      </c>
    </row>
    <row r="1074" spans="1:10" x14ac:dyDescent="0.25">
      <c r="A1074" t="s">
        <v>399</v>
      </c>
      <c r="B1074" t="s">
        <v>641</v>
      </c>
      <c r="C1074" t="s">
        <v>642</v>
      </c>
      <c r="D1074">
        <v>766950</v>
      </c>
      <c r="E1074" t="s">
        <v>10</v>
      </c>
      <c r="F1074">
        <v>19.836400000000001</v>
      </c>
      <c r="G1074">
        <v>-90.507499999999993</v>
      </c>
      <c r="H1074">
        <v>-6</v>
      </c>
      <c r="I1074">
        <v>5</v>
      </c>
      <c r="J1074" t="str">
        <f>HYPERLINK("https://climate.onebuilding.org/WMO_Region_4_North_and_Central_America/MEX_Mexico/CAM_Campeche/MEX_CAM_Campeche-Ongay.Intl.AP.766950_TMYx.2007-2021.zip")</f>
        <v>https://climate.onebuilding.org/WMO_Region_4_North_and_Central_America/MEX_Mexico/CAM_Campeche/MEX_CAM_Campeche-Ongay.Intl.AP.766950_TMYx.2007-2021.zip</v>
      </c>
    </row>
    <row r="1075" spans="1:10" x14ac:dyDescent="0.25">
      <c r="A1075" t="s">
        <v>399</v>
      </c>
      <c r="B1075" t="s">
        <v>641</v>
      </c>
      <c r="C1075" t="s">
        <v>642</v>
      </c>
      <c r="D1075">
        <v>766950</v>
      </c>
      <c r="E1075" t="s">
        <v>10</v>
      </c>
      <c r="F1075">
        <v>19.836400000000001</v>
      </c>
      <c r="G1075">
        <v>-90.507499999999993</v>
      </c>
      <c r="H1075">
        <v>-6</v>
      </c>
      <c r="I1075">
        <v>5</v>
      </c>
      <c r="J1075" t="str">
        <f>HYPERLINK("https://climate.onebuilding.org/WMO_Region_4_North_and_Central_America/MEX_Mexico/CAM_Campeche/MEX_CAM_Campeche-Ongay.Intl.AP.766950_TMYx.2009-2023.zip")</f>
        <v>https://climate.onebuilding.org/WMO_Region_4_North_and_Central_America/MEX_Mexico/CAM_Campeche/MEX_CAM_Campeche-Ongay.Intl.AP.766950_TMYx.2009-2023.zip</v>
      </c>
    </row>
    <row r="1076" spans="1:10" x14ac:dyDescent="0.25">
      <c r="A1076" t="s">
        <v>399</v>
      </c>
      <c r="B1076" t="s">
        <v>641</v>
      </c>
      <c r="C1076" t="s">
        <v>642</v>
      </c>
      <c r="D1076">
        <v>766950</v>
      </c>
      <c r="E1076" t="s">
        <v>10</v>
      </c>
      <c r="F1076">
        <v>19.836400000000001</v>
      </c>
      <c r="G1076">
        <v>-90.507499999999993</v>
      </c>
      <c r="H1076">
        <v>-6</v>
      </c>
      <c r="I1076">
        <v>5</v>
      </c>
      <c r="J1076" t="str">
        <f>HYPERLINK("https://climate.onebuilding.org/WMO_Region_4_North_and_Central_America/MEX_Mexico/CAM_Campeche/MEX_CAM_Campeche-Ongay.Intl.AP.766950_TMYx.zip")</f>
        <v>https://climate.onebuilding.org/WMO_Region_4_North_and_Central_America/MEX_Mexico/CAM_Campeche/MEX_CAM_Campeche-Ongay.Intl.AP.766950_TMYx.zip</v>
      </c>
    </row>
    <row r="1077" spans="1:10" x14ac:dyDescent="0.25">
      <c r="A1077" t="s">
        <v>399</v>
      </c>
      <c r="B1077" t="s">
        <v>641</v>
      </c>
      <c r="C1077" t="s">
        <v>644</v>
      </c>
      <c r="D1077">
        <v>766961</v>
      </c>
      <c r="E1077" t="s">
        <v>10</v>
      </c>
      <c r="F1077">
        <v>19.832999999999998</v>
      </c>
      <c r="G1077">
        <v>-90.516999999999996</v>
      </c>
      <c r="H1077">
        <v>-6</v>
      </c>
      <c r="I1077">
        <v>9</v>
      </c>
      <c r="J1077" t="str">
        <f>HYPERLINK("https://climate.onebuilding.org/WMO_Region_4_North_and_Central_America/MEX_Mexico/CAM_Campeche/MEX_CAM_Campeche-Ignacio.766961_TMYx.zip")</f>
        <v>https://climate.onebuilding.org/WMO_Region_4_North_and_Central_America/MEX_Mexico/CAM_Campeche/MEX_CAM_Campeche-Ignacio.766961_TMYx.zip</v>
      </c>
    </row>
    <row r="1078" spans="1:10" x14ac:dyDescent="0.25">
      <c r="A1078" t="s">
        <v>399</v>
      </c>
      <c r="B1078" t="s">
        <v>560</v>
      </c>
      <c r="C1078" t="s">
        <v>645</v>
      </c>
      <c r="D1078">
        <v>766980</v>
      </c>
      <c r="E1078" t="s">
        <v>646</v>
      </c>
      <c r="F1078">
        <v>19.7</v>
      </c>
      <c r="G1078">
        <v>-87.9</v>
      </c>
      <c r="H1078">
        <v>-6</v>
      </c>
      <c r="I1078">
        <v>12</v>
      </c>
      <c r="J1078" t="str">
        <f>HYPERLINK("https://climate.onebuilding.org/WMO_Region_4_North_and_Central_America/MEX_Mexico/ROO_Quintana_Roo/MEX_ROO_Felipe.Carrillo.Puerto.766980_TMYx.2004-2018.zip")</f>
        <v>https://climate.onebuilding.org/WMO_Region_4_North_and_Central_America/MEX_Mexico/ROO_Quintana_Roo/MEX_ROO_Felipe.Carrillo.Puerto.766980_TMYx.2004-2018.zip</v>
      </c>
    </row>
    <row r="1079" spans="1:10" x14ac:dyDescent="0.25">
      <c r="A1079" t="s">
        <v>399</v>
      </c>
      <c r="B1079" t="s">
        <v>560</v>
      </c>
      <c r="C1079" t="s">
        <v>645</v>
      </c>
      <c r="D1079">
        <v>766980</v>
      </c>
      <c r="E1079" t="s">
        <v>10</v>
      </c>
      <c r="F1079">
        <v>19.7</v>
      </c>
      <c r="G1079">
        <v>-87.9</v>
      </c>
      <c r="H1079">
        <v>-6</v>
      </c>
      <c r="I1079">
        <v>12</v>
      </c>
      <c r="J1079" t="str">
        <f>HYPERLINK("https://climate.onebuilding.org/WMO_Region_4_North_and_Central_America/MEX_Mexico/ROO_Quintana_Roo/MEX_ROO_Felipe.Carrillo.Puerto.766980_TMYx.2007-2021.zip")</f>
        <v>https://climate.onebuilding.org/WMO_Region_4_North_and_Central_America/MEX_Mexico/ROO_Quintana_Roo/MEX_ROO_Felipe.Carrillo.Puerto.766980_TMYx.2007-2021.zip</v>
      </c>
    </row>
    <row r="1080" spans="1:10" x14ac:dyDescent="0.25">
      <c r="A1080" t="s">
        <v>399</v>
      </c>
      <c r="B1080" t="s">
        <v>560</v>
      </c>
      <c r="C1080" t="s">
        <v>645</v>
      </c>
      <c r="D1080">
        <v>766980</v>
      </c>
      <c r="E1080" t="s">
        <v>10</v>
      </c>
      <c r="F1080">
        <v>19.7</v>
      </c>
      <c r="G1080">
        <v>-87.9</v>
      </c>
      <c r="H1080">
        <v>-6</v>
      </c>
      <c r="I1080">
        <v>12</v>
      </c>
      <c r="J1080" t="str">
        <f>HYPERLINK("https://climate.onebuilding.org/WMO_Region_4_North_and_Central_America/MEX_Mexico/ROO_Quintana_Roo/MEX_ROO_Felipe.Carrillo.Puerto.766980_TMYx.2009-2023.zip")</f>
        <v>https://climate.onebuilding.org/WMO_Region_4_North_and_Central_America/MEX_Mexico/ROO_Quintana_Roo/MEX_ROO_Felipe.Carrillo.Puerto.766980_TMYx.2009-2023.zip</v>
      </c>
    </row>
    <row r="1081" spans="1:10" x14ac:dyDescent="0.25">
      <c r="A1081" t="s">
        <v>399</v>
      </c>
      <c r="B1081" t="s">
        <v>560</v>
      </c>
      <c r="C1081" t="s">
        <v>645</v>
      </c>
      <c r="D1081">
        <v>766980</v>
      </c>
      <c r="E1081" t="s">
        <v>10</v>
      </c>
      <c r="F1081">
        <v>19.7</v>
      </c>
      <c r="G1081">
        <v>-87.9</v>
      </c>
      <c r="H1081">
        <v>-6</v>
      </c>
      <c r="I1081">
        <v>12</v>
      </c>
      <c r="J1081" t="str">
        <f>HYPERLINK("https://climate.onebuilding.org/WMO_Region_4_North_and_Central_America/MEX_Mexico/ROO_Quintana_Roo/MEX_ROO_Felipe.Carrillo.Puerto.766980_TMYx.zip")</f>
        <v>https://climate.onebuilding.org/WMO_Region_4_North_and_Central_America/MEX_Mexico/ROO_Quintana_Roo/MEX_ROO_Felipe.Carrillo.Puerto.766980_TMYx.zip</v>
      </c>
    </row>
    <row r="1082" spans="1:10" x14ac:dyDescent="0.25">
      <c r="A1082" t="s">
        <v>399</v>
      </c>
      <c r="B1082" t="s">
        <v>596</v>
      </c>
      <c r="C1082" t="s">
        <v>647</v>
      </c>
      <c r="D1082">
        <v>767230</v>
      </c>
      <c r="E1082" t="s">
        <v>10</v>
      </c>
      <c r="F1082">
        <v>18.716999999999999</v>
      </c>
      <c r="G1082">
        <v>-110.95</v>
      </c>
      <c r="H1082">
        <v>-6</v>
      </c>
      <c r="I1082">
        <v>35</v>
      </c>
      <c r="J1082" t="str">
        <f>HYPERLINK("https://climate.onebuilding.org/WMO_Region_4_North_and_Central_America/MEX_Mexico/COL_Colima/MEX_COL_Isla.Socorro.767230_TMYx.zip")</f>
        <v>https://climate.onebuilding.org/WMO_Region_4_North_and_Central_America/MEX_Mexico/COL_Colima/MEX_COL_Isla.Socorro.767230_TMYx.zip</v>
      </c>
    </row>
    <row r="1083" spans="1:10" x14ac:dyDescent="0.25">
      <c r="A1083" t="s">
        <v>399</v>
      </c>
      <c r="B1083" t="s">
        <v>648</v>
      </c>
      <c r="C1083" t="s">
        <v>649</v>
      </c>
      <c r="D1083">
        <v>767260</v>
      </c>
      <c r="E1083" t="s">
        <v>650</v>
      </c>
      <c r="F1083">
        <v>18.835000000000001</v>
      </c>
      <c r="G1083">
        <v>-99.262</v>
      </c>
      <c r="H1083">
        <v>-6</v>
      </c>
      <c r="I1083">
        <v>1303.5999999999999</v>
      </c>
      <c r="J1083" t="str">
        <f>HYPERLINK("https://climate.onebuilding.org/WMO_Region_4_North_and_Central_America/MEX_Mexico/MOR_Morelos/MEX_MOR_Cuernavaca-Matamoros.Intl.AP.767260_TMYx.2004-2018.zip")</f>
        <v>https://climate.onebuilding.org/WMO_Region_4_North_and_Central_America/MEX_Mexico/MOR_Morelos/MEX_MOR_Cuernavaca-Matamoros.Intl.AP.767260_TMYx.2004-2018.zip</v>
      </c>
    </row>
    <row r="1084" spans="1:10" x14ac:dyDescent="0.25">
      <c r="A1084" t="s">
        <v>399</v>
      </c>
      <c r="B1084" t="s">
        <v>648</v>
      </c>
      <c r="C1084" t="s">
        <v>649</v>
      </c>
      <c r="D1084">
        <v>767260</v>
      </c>
      <c r="E1084" t="s">
        <v>10</v>
      </c>
      <c r="F1084">
        <v>18.835000000000001</v>
      </c>
      <c r="G1084">
        <v>-99.262</v>
      </c>
      <c r="H1084">
        <v>-6</v>
      </c>
      <c r="I1084">
        <v>1303.5999999999999</v>
      </c>
      <c r="J1084" t="str">
        <f>HYPERLINK("https://climate.onebuilding.org/WMO_Region_4_North_and_Central_America/MEX_Mexico/MOR_Morelos/MEX_MOR_Cuernavaca-Matamoros.Intl.AP.767260_TMYx.2007-2021.zip")</f>
        <v>https://climate.onebuilding.org/WMO_Region_4_North_and_Central_America/MEX_Mexico/MOR_Morelos/MEX_MOR_Cuernavaca-Matamoros.Intl.AP.767260_TMYx.2007-2021.zip</v>
      </c>
    </row>
    <row r="1085" spans="1:10" x14ac:dyDescent="0.25">
      <c r="A1085" t="s">
        <v>399</v>
      </c>
      <c r="B1085" t="s">
        <v>648</v>
      </c>
      <c r="C1085" t="s">
        <v>649</v>
      </c>
      <c r="D1085">
        <v>767260</v>
      </c>
      <c r="E1085" t="s">
        <v>10</v>
      </c>
      <c r="F1085">
        <v>18.835000000000001</v>
      </c>
      <c r="G1085">
        <v>-99.262</v>
      </c>
      <c r="H1085">
        <v>-6</v>
      </c>
      <c r="I1085">
        <v>1303.5999999999999</v>
      </c>
      <c r="J1085" t="str">
        <f>HYPERLINK("https://climate.onebuilding.org/WMO_Region_4_North_and_Central_America/MEX_Mexico/MOR_Morelos/MEX_MOR_Cuernavaca-Matamoros.Intl.AP.767260_TMYx.2009-2023.zip")</f>
        <v>https://climate.onebuilding.org/WMO_Region_4_North_and_Central_America/MEX_Mexico/MOR_Morelos/MEX_MOR_Cuernavaca-Matamoros.Intl.AP.767260_TMYx.2009-2023.zip</v>
      </c>
    </row>
    <row r="1086" spans="1:10" x14ac:dyDescent="0.25">
      <c r="A1086" t="s">
        <v>399</v>
      </c>
      <c r="B1086" t="s">
        <v>648</v>
      </c>
      <c r="C1086" t="s">
        <v>649</v>
      </c>
      <c r="D1086">
        <v>767260</v>
      </c>
      <c r="E1086" t="s">
        <v>10</v>
      </c>
      <c r="F1086">
        <v>18.835000000000001</v>
      </c>
      <c r="G1086">
        <v>-99.262</v>
      </c>
      <c r="H1086">
        <v>-6</v>
      </c>
      <c r="I1086">
        <v>1303.5999999999999</v>
      </c>
      <c r="J1086" t="str">
        <f>HYPERLINK("https://climate.onebuilding.org/WMO_Region_4_North_and_Central_America/MEX_Mexico/MOR_Morelos/MEX_MOR_Cuernavaca-Matamoros.Intl.AP.767260_TMYx.zip")</f>
        <v>https://climate.onebuilding.org/WMO_Region_4_North_and_Central_America/MEX_Mexico/MOR_Morelos/MEX_MOR_Cuernavaca-Matamoros.Intl.AP.767260_TMYx.zip</v>
      </c>
    </row>
    <row r="1087" spans="1:10" x14ac:dyDescent="0.25">
      <c r="A1087" t="s">
        <v>399</v>
      </c>
      <c r="B1087" t="s">
        <v>648</v>
      </c>
      <c r="C1087" t="s">
        <v>651</v>
      </c>
      <c r="D1087">
        <v>767270</v>
      </c>
      <c r="E1087" t="s">
        <v>10</v>
      </c>
      <c r="F1087">
        <v>18.7</v>
      </c>
      <c r="G1087">
        <v>-99.167000000000002</v>
      </c>
      <c r="H1087">
        <v>-6</v>
      </c>
      <c r="I1087">
        <v>995.8</v>
      </c>
      <c r="J1087" t="str">
        <f>HYPERLINK("https://climate.onebuilding.org/WMO_Region_4_North_and_Central_America/MEX_Mexico/MOR_Morelos/MEX_MOR_Zacatepec.767270_TMYx.2007-2021.zip")</f>
        <v>https://climate.onebuilding.org/WMO_Region_4_North_and_Central_America/MEX_Mexico/MOR_Morelos/MEX_MOR_Zacatepec.767270_TMYx.2007-2021.zip</v>
      </c>
    </row>
    <row r="1088" spans="1:10" x14ac:dyDescent="0.25">
      <c r="A1088" t="s">
        <v>399</v>
      </c>
      <c r="B1088" t="s">
        <v>648</v>
      </c>
      <c r="C1088" t="s">
        <v>651</v>
      </c>
      <c r="D1088">
        <v>767270</v>
      </c>
      <c r="E1088" t="s">
        <v>10</v>
      </c>
      <c r="F1088">
        <v>18.7</v>
      </c>
      <c r="G1088">
        <v>-99.167000000000002</v>
      </c>
      <c r="H1088">
        <v>-6</v>
      </c>
      <c r="I1088">
        <v>995.8</v>
      </c>
      <c r="J1088" t="str">
        <f>HYPERLINK("https://climate.onebuilding.org/WMO_Region_4_North_and_Central_America/MEX_Mexico/MOR_Morelos/MEX_MOR_Zacatepec.767270_TMYx.2009-2023.zip")</f>
        <v>https://climate.onebuilding.org/WMO_Region_4_North_and_Central_America/MEX_Mexico/MOR_Morelos/MEX_MOR_Zacatepec.767270_TMYx.2009-2023.zip</v>
      </c>
    </row>
    <row r="1089" spans="1:10" x14ac:dyDescent="0.25">
      <c r="A1089" t="s">
        <v>399</v>
      </c>
      <c r="B1089" t="s">
        <v>648</v>
      </c>
      <c r="C1089" t="s">
        <v>651</v>
      </c>
      <c r="D1089">
        <v>767270</v>
      </c>
      <c r="E1089" t="s">
        <v>10</v>
      </c>
      <c r="F1089">
        <v>18.7</v>
      </c>
      <c r="G1089">
        <v>-99.167000000000002</v>
      </c>
      <c r="H1089">
        <v>-6</v>
      </c>
      <c r="I1089">
        <v>995.8</v>
      </c>
      <c r="J1089" t="str">
        <f>HYPERLINK("https://climate.onebuilding.org/WMO_Region_4_North_and_Central_America/MEX_Mexico/MOR_Morelos/MEX_MOR_Zacatepec.767270_TMYx.zip")</f>
        <v>https://climate.onebuilding.org/WMO_Region_4_North_and_Central_America/MEX_Mexico/MOR_Morelos/MEX_MOR_Zacatepec.767270_TMYx.zip</v>
      </c>
    </row>
    <row r="1090" spans="1:10" x14ac:dyDescent="0.25">
      <c r="A1090" t="s">
        <v>399</v>
      </c>
      <c r="B1090" t="s">
        <v>553</v>
      </c>
      <c r="C1090" t="s">
        <v>652</v>
      </c>
      <c r="D1090">
        <v>767370</v>
      </c>
      <c r="E1090" t="s">
        <v>653</v>
      </c>
      <c r="F1090">
        <v>18.850000000000001</v>
      </c>
      <c r="G1090">
        <v>-97.1</v>
      </c>
      <c r="H1090">
        <v>-6</v>
      </c>
      <c r="I1090">
        <v>1259</v>
      </c>
      <c r="J1090" t="str">
        <f>HYPERLINK("https://climate.onebuilding.org/WMO_Region_4_North_and_Central_America/MEX_Mexico/VER_Veracruz/MEX_VER_Orizaba.767370_TMYx.2004-2018.zip")</f>
        <v>https://climate.onebuilding.org/WMO_Region_4_North_and_Central_America/MEX_Mexico/VER_Veracruz/MEX_VER_Orizaba.767370_TMYx.2004-2018.zip</v>
      </c>
    </row>
    <row r="1091" spans="1:10" x14ac:dyDescent="0.25">
      <c r="A1091" t="s">
        <v>399</v>
      </c>
      <c r="B1091" t="s">
        <v>553</v>
      </c>
      <c r="C1091" t="s">
        <v>652</v>
      </c>
      <c r="D1091">
        <v>767370</v>
      </c>
      <c r="E1091" t="s">
        <v>10</v>
      </c>
      <c r="F1091">
        <v>18.865600000000001</v>
      </c>
      <c r="G1091">
        <v>-97.098299999999995</v>
      </c>
      <c r="H1091">
        <v>-6</v>
      </c>
      <c r="I1091">
        <v>1259</v>
      </c>
      <c r="J1091" t="str">
        <f>HYPERLINK("https://climate.onebuilding.org/WMO_Region_4_North_and_Central_America/MEX_Mexico/VER_Veracruz/MEX_VER_Orizaba.767370_TMYx.2007-2021.zip")</f>
        <v>https://climate.onebuilding.org/WMO_Region_4_North_and_Central_America/MEX_Mexico/VER_Veracruz/MEX_VER_Orizaba.767370_TMYx.2007-2021.zip</v>
      </c>
    </row>
    <row r="1092" spans="1:10" x14ac:dyDescent="0.25">
      <c r="A1092" t="s">
        <v>399</v>
      </c>
      <c r="B1092" t="s">
        <v>553</v>
      </c>
      <c r="C1092" t="s">
        <v>652</v>
      </c>
      <c r="D1092">
        <v>767370</v>
      </c>
      <c r="E1092" t="s">
        <v>10</v>
      </c>
      <c r="F1092">
        <v>18.865600000000001</v>
      </c>
      <c r="G1092">
        <v>-97.098299999999995</v>
      </c>
      <c r="H1092">
        <v>-6</v>
      </c>
      <c r="I1092">
        <v>1259</v>
      </c>
      <c r="J1092" t="str">
        <f>HYPERLINK("https://climate.onebuilding.org/WMO_Region_4_North_and_Central_America/MEX_Mexico/VER_Veracruz/MEX_VER_Orizaba.767370_TMYx.2009-2023.zip")</f>
        <v>https://climate.onebuilding.org/WMO_Region_4_North_and_Central_America/MEX_Mexico/VER_Veracruz/MEX_VER_Orizaba.767370_TMYx.2009-2023.zip</v>
      </c>
    </row>
    <row r="1093" spans="1:10" x14ac:dyDescent="0.25">
      <c r="A1093" t="s">
        <v>399</v>
      </c>
      <c r="B1093" t="s">
        <v>553</v>
      </c>
      <c r="C1093" t="s">
        <v>652</v>
      </c>
      <c r="D1093">
        <v>767370</v>
      </c>
      <c r="E1093" t="s">
        <v>10</v>
      </c>
      <c r="F1093">
        <v>18.865600000000001</v>
      </c>
      <c r="G1093">
        <v>-97.098299999999995</v>
      </c>
      <c r="H1093">
        <v>-6</v>
      </c>
      <c r="I1093">
        <v>1259</v>
      </c>
      <c r="J1093" t="str">
        <f>HYPERLINK("https://climate.onebuilding.org/WMO_Region_4_North_and_Central_America/MEX_Mexico/VER_Veracruz/MEX_VER_Orizaba.767370_TMYx.zip")</f>
        <v>https://climate.onebuilding.org/WMO_Region_4_North_and_Central_America/MEX_Mexico/VER_Veracruz/MEX_VER_Orizaba.767370_TMYx.zip</v>
      </c>
    </row>
    <row r="1094" spans="1:10" x14ac:dyDescent="0.25">
      <c r="A1094" t="s">
        <v>399</v>
      </c>
      <c r="B1094" t="s">
        <v>630</v>
      </c>
      <c r="C1094" t="s">
        <v>654</v>
      </c>
      <c r="D1094">
        <v>767375</v>
      </c>
      <c r="E1094" t="s">
        <v>18</v>
      </c>
      <c r="F1094">
        <v>18.497</v>
      </c>
      <c r="G1094">
        <v>-97.42</v>
      </c>
      <c r="H1094">
        <v>-6</v>
      </c>
      <c r="I1094">
        <v>1679.1</v>
      </c>
      <c r="J1094" t="str">
        <f>HYPERLINK("https://climate.onebuilding.org/WMO_Region_4_North_and_Central_America/MEX_Mexico/PUE_Puebla/MEX_PUE_Tehuacan.767375_TMYx.2007-2021.zip")</f>
        <v>https://climate.onebuilding.org/WMO_Region_4_North_and_Central_America/MEX_Mexico/PUE_Puebla/MEX_PUE_Tehuacan.767375_TMYx.2007-2021.zip</v>
      </c>
    </row>
    <row r="1095" spans="1:10" x14ac:dyDescent="0.25">
      <c r="A1095" t="s">
        <v>399</v>
      </c>
      <c r="B1095" t="s">
        <v>630</v>
      </c>
      <c r="C1095" t="s">
        <v>654</v>
      </c>
      <c r="D1095">
        <v>767375</v>
      </c>
      <c r="E1095" t="s">
        <v>18</v>
      </c>
      <c r="F1095">
        <v>18.497</v>
      </c>
      <c r="G1095">
        <v>-97.42</v>
      </c>
      <c r="H1095">
        <v>-6</v>
      </c>
      <c r="I1095">
        <v>1679.1</v>
      </c>
      <c r="J1095" t="str">
        <f>HYPERLINK("https://climate.onebuilding.org/WMO_Region_4_North_and_Central_America/MEX_Mexico/PUE_Puebla/MEX_PUE_Tehuacan.767375_TMYx.2009-2023.zip")</f>
        <v>https://climate.onebuilding.org/WMO_Region_4_North_and_Central_America/MEX_Mexico/PUE_Puebla/MEX_PUE_Tehuacan.767375_TMYx.2009-2023.zip</v>
      </c>
    </row>
    <row r="1096" spans="1:10" x14ac:dyDescent="0.25">
      <c r="A1096" t="s">
        <v>399</v>
      </c>
      <c r="B1096" t="s">
        <v>630</v>
      </c>
      <c r="C1096" t="s">
        <v>654</v>
      </c>
      <c r="D1096">
        <v>767375</v>
      </c>
      <c r="E1096" t="s">
        <v>18</v>
      </c>
      <c r="F1096">
        <v>18.497</v>
      </c>
      <c r="G1096">
        <v>-97.42</v>
      </c>
      <c r="H1096">
        <v>-6</v>
      </c>
      <c r="I1096">
        <v>1679.1</v>
      </c>
      <c r="J1096" t="str">
        <f>HYPERLINK("https://climate.onebuilding.org/WMO_Region_4_North_and_Central_America/MEX_Mexico/PUE_Puebla/MEX_PUE_Tehuacan.767375_TMYx.zip")</f>
        <v>https://climate.onebuilding.org/WMO_Region_4_North_and_Central_America/MEX_Mexico/PUE_Puebla/MEX_PUE_Tehuacan.767375_TMYx.zip</v>
      </c>
    </row>
    <row r="1097" spans="1:10" x14ac:dyDescent="0.25">
      <c r="A1097" t="s">
        <v>399</v>
      </c>
      <c r="B1097" t="s">
        <v>553</v>
      </c>
      <c r="C1097" t="s">
        <v>655</v>
      </c>
      <c r="D1097">
        <v>767380</v>
      </c>
      <c r="E1097" t="s">
        <v>10</v>
      </c>
      <c r="F1097">
        <v>18.899999999999999</v>
      </c>
      <c r="G1097">
        <v>-96.933000000000007</v>
      </c>
      <c r="H1097">
        <v>-6</v>
      </c>
      <c r="I1097">
        <v>882.7</v>
      </c>
      <c r="J1097" t="str">
        <f>HYPERLINK("https://climate.onebuilding.org/WMO_Region_4_North_and_Central_America/MEX_Mexico/VER_Veracruz/MEX_VER_Cordoba.767380_TMYx.2007-2021.zip")</f>
        <v>https://climate.onebuilding.org/WMO_Region_4_North_and_Central_America/MEX_Mexico/VER_Veracruz/MEX_VER_Cordoba.767380_TMYx.2007-2021.zip</v>
      </c>
    </row>
    <row r="1098" spans="1:10" x14ac:dyDescent="0.25">
      <c r="A1098" t="s">
        <v>399</v>
      </c>
      <c r="B1098" t="s">
        <v>553</v>
      </c>
      <c r="C1098" t="s">
        <v>655</v>
      </c>
      <c r="D1098">
        <v>767380</v>
      </c>
      <c r="E1098" t="s">
        <v>10</v>
      </c>
      <c r="F1098">
        <v>18.899999999999999</v>
      </c>
      <c r="G1098">
        <v>-96.933000000000007</v>
      </c>
      <c r="H1098">
        <v>-6</v>
      </c>
      <c r="I1098">
        <v>882.7</v>
      </c>
      <c r="J1098" t="str">
        <f>HYPERLINK("https://climate.onebuilding.org/WMO_Region_4_North_and_Central_America/MEX_Mexico/VER_Veracruz/MEX_VER_Cordoba.767380_TMYx.2009-2023.zip")</f>
        <v>https://climate.onebuilding.org/WMO_Region_4_North_and_Central_America/MEX_Mexico/VER_Veracruz/MEX_VER_Cordoba.767380_TMYx.2009-2023.zip</v>
      </c>
    </row>
    <row r="1099" spans="1:10" x14ac:dyDescent="0.25">
      <c r="A1099" t="s">
        <v>399</v>
      </c>
      <c r="B1099" t="s">
        <v>553</v>
      </c>
      <c r="C1099" t="s">
        <v>655</v>
      </c>
      <c r="D1099">
        <v>767380</v>
      </c>
      <c r="E1099" t="s">
        <v>10</v>
      </c>
      <c r="F1099">
        <v>18.899999999999999</v>
      </c>
      <c r="G1099">
        <v>-96.933000000000007</v>
      </c>
      <c r="H1099">
        <v>-6</v>
      </c>
      <c r="I1099">
        <v>882.7</v>
      </c>
      <c r="J1099" t="str">
        <f>HYPERLINK("https://climate.onebuilding.org/WMO_Region_4_North_and_Central_America/MEX_Mexico/VER_Veracruz/MEX_VER_Cordoba.767380_TMYx.zip")</f>
        <v>https://climate.onebuilding.org/WMO_Region_4_North_and_Central_America/MEX_Mexico/VER_Veracruz/MEX_VER_Cordoba.767380_TMYx.zip</v>
      </c>
    </row>
    <row r="1100" spans="1:10" x14ac:dyDescent="0.25">
      <c r="A1100" t="s">
        <v>399</v>
      </c>
      <c r="B1100" t="s">
        <v>553</v>
      </c>
      <c r="C1100" t="s">
        <v>656</v>
      </c>
      <c r="D1100">
        <v>767383</v>
      </c>
      <c r="E1100" t="s">
        <v>657</v>
      </c>
      <c r="F1100">
        <v>18.103000000000002</v>
      </c>
      <c r="G1100">
        <v>-94.581000000000003</v>
      </c>
      <c r="H1100">
        <v>-6</v>
      </c>
      <c r="I1100">
        <v>11</v>
      </c>
      <c r="J1100" t="str">
        <f>HYPERLINK("https://climate.onebuilding.org/WMO_Region_4_North_and_Central_America/MEX_Mexico/VER_Veracruz/MEX_VER_Minatitlan.Intl.AP.767383_TMYx.2004-2018.zip")</f>
        <v>https://climate.onebuilding.org/WMO_Region_4_North_and_Central_America/MEX_Mexico/VER_Veracruz/MEX_VER_Minatitlan.Intl.AP.767383_TMYx.2004-2018.zip</v>
      </c>
    </row>
    <row r="1101" spans="1:10" x14ac:dyDescent="0.25">
      <c r="A1101" t="s">
        <v>399</v>
      </c>
      <c r="B1101" t="s">
        <v>553</v>
      </c>
      <c r="C1101" t="s">
        <v>656</v>
      </c>
      <c r="D1101">
        <v>767383</v>
      </c>
      <c r="E1101" t="s">
        <v>10</v>
      </c>
      <c r="F1101">
        <v>18.103000000000002</v>
      </c>
      <c r="G1101">
        <v>-94.581000000000003</v>
      </c>
      <c r="H1101">
        <v>-6</v>
      </c>
      <c r="I1101">
        <v>11</v>
      </c>
      <c r="J1101" t="str">
        <f>HYPERLINK("https://climate.onebuilding.org/WMO_Region_4_North_and_Central_America/MEX_Mexico/VER_Veracruz/MEX_VER_Minatitlan.Intl.AP.767383_TMYx.2007-2021.zip")</f>
        <v>https://climate.onebuilding.org/WMO_Region_4_North_and_Central_America/MEX_Mexico/VER_Veracruz/MEX_VER_Minatitlan.Intl.AP.767383_TMYx.2007-2021.zip</v>
      </c>
    </row>
    <row r="1102" spans="1:10" x14ac:dyDescent="0.25">
      <c r="A1102" t="s">
        <v>399</v>
      </c>
      <c r="B1102" t="s">
        <v>553</v>
      </c>
      <c r="C1102" t="s">
        <v>656</v>
      </c>
      <c r="D1102">
        <v>767383</v>
      </c>
      <c r="E1102" t="s">
        <v>10</v>
      </c>
      <c r="F1102">
        <v>18.103000000000002</v>
      </c>
      <c r="G1102">
        <v>-94.581000000000003</v>
      </c>
      <c r="H1102">
        <v>-6</v>
      </c>
      <c r="I1102">
        <v>11</v>
      </c>
      <c r="J1102" t="str">
        <f>HYPERLINK("https://climate.onebuilding.org/WMO_Region_4_North_and_Central_America/MEX_Mexico/VER_Veracruz/MEX_VER_Minatitlan.Intl.AP.767383_TMYx.2009-2023.zip")</f>
        <v>https://climate.onebuilding.org/WMO_Region_4_North_and_Central_America/MEX_Mexico/VER_Veracruz/MEX_VER_Minatitlan.Intl.AP.767383_TMYx.2009-2023.zip</v>
      </c>
    </row>
    <row r="1103" spans="1:10" x14ac:dyDescent="0.25">
      <c r="A1103" t="s">
        <v>399</v>
      </c>
      <c r="B1103" t="s">
        <v>553</v>
      </c>
      <c r="C1103" t="s">
        <v>656</v>
      </c>
      <c r="D1103">
        <v>767383</v>
      </c>
      <c r="E1103" t="s">
        <v>10</v>
      </c>
      <c r="F1103">
        <v>18.103000000000002</v>
      </c>
      <c r="G1103">
        <v>-94.581000000000003</v>
      </c>
      <c r="H1103">
        <v>-6</v>
      </c>
      <c r="I1103">
        <v>11</v>
      </c>
      <c r="J1103" t="str">
        <f>HYPERLINK("https://climate.onebuilding.org/WMO_Region_4_North_and_Central_America/MEX_Mexico/VER_Veracruz/MEX_VER_Minatitlan.Intl.AP.767383_TMYx.zip")</f>
        <v>https://climate.onebuilding.org/WMO_Region_4_North_and_Central_America/MEX_Mexico/VER_Veracruz/MEX_VER_Minatitlan.Intl.AP.767383_TMYx.zip</v>
      </c>
    </row>
    <row r="1104" spans="1:10" x14ac:dyDescent="0.25">
      <c r="A1104" t="s">
        <v>399</v>
      </c>
      <c r="B1104" t="s">
        <v>553</v>
      </c>
      <c r="C1104" t="s">
        <v>658</v>
      </c>
      <c r="D1104">
        <v>767410</v>
      </c>
      <c r="E1104" t="s">
        <v>659</v>
      </c>
      <c r="F1104">
        <v>18.132999999999999</v>
      </c>
      <c r="G1104">
        <v>-94.417000000000002</v>
      </c>
      <c r="H1104">
        <v>-6</v>
      </c>
      <c r="I1104">
        <v>22</v>
      </c>
      <c r="J1104" t="str">
        <f>HYPERLINK("https://climate.onebuilding.org/WMO_Region_4_North_and_Central_America/MEX_Mexico/VER_Veracruz/MEX_VER_Coatzacoalcos.767410_TMYx.2004-2018.zip")</f>
        <v>https://climate.onebuilding.org/WMO_Region_4_North_and_Central_America/MEX_Mexico/VER_Veracruz/MEX_VER_Coatzacoalcos.767410_TMYx.2004-2018.zip</v>
      </c>
    </row>
    <row r="1105" spans="1:10" x14ac:dyDescent="0.25">
      <c r="A1105" t="s">
        <v>399</v>
      </c>
      <c r="B1105" t="s">
        <v>553</v>
      </c>
      <c r="C1105" t="s">
        <v>658</v>
      </c>
      <c r="D1105">
        <v>767410</v>
      </c>
      <c r="E1105" t="s">
        <v>10</v>
      </c>
      <c r="F1105">
        <v>18.1403</v>
      </c>
      <c r="G1105">
        <v>-94.510800000000003</v>
      </c>
      <c r="H1105">
        <v>-6</v>
      </c>
      <c r="I1105">
        <v>16</v>
      </c>
      <c r="J1105" t="str">
        <f>HYPERLINK("https://climate.onebuilding.org/WMO_Region_4_North_and_Central_America/MEX_Mexico/VER_Veracruz/MEX_VER_Coatzacoalcos.767410_TMYx.2007-2021.zip")</f>
        <v>https://climate.onebuilding.org/WMO_Region_4_North_and_Central_America/MEX_Mexico/VER_Veracruz/MEX_VER_Coatzacoalcos.767410_TMYx.2007-2021.zip</v>
      </c>
    </row>
    <row r="1106" spans="1:10" x14ac:dyDescent="0.25">
      <c r="A1106" t="s">
        <v>399</v>
      </c>
      <c r="B1106" t="s">
        <v>553</v>
      </c>
      <c r="C1106" t="s">
        <v>658</v>
      </c>
      <c r="D1106">
        <v>767410</v>
      </c>
      <c r="E1106" t="s">
        <v>10</v>
      </c>
      <c r="F1106">
        <v>18.1403</v>
      </c>
      <c r="G1106">
        <v>-94.510800000000003</v>
      </c>
      <c r="H1106">
        <v>-6</v>
      </c>
      <c r="I1106">
        <v>16</v>
      </c>
      <c r="J1106" t="str">
        <f>HYPERLINK("https://climate.onebuilding.org/WMO_Region_4_North_and_Central_America/MEX_Mexico/VER_Veracruz/MEX_VER_Coatzacoalcos.767410_TMYx.2009-2023.zip")</f>
        <v>https://climate.onebuilding.org/WMO_Region_4_North_and_Central_America/MEX_Mexico/VER_Veracruz/MEX_VER_Coatzacoalcos.767410_TMYx.2009-2023.zip</v>
      </c>
    </row>
    <row r="1107" spans="1:10" x14ac:dyDescent="0.25">
      <c r="A1107" t="s">
        <v>399</v>
      </c>
      <c r="B1107" t="s">
        <v>553</v>
      </c>
      <c r="C1107" t="s">
        <v>658</v>
      </c>
      <c r="D1107">
        <v>767410</v>
      </c>
      <c r="E1107" t="s">
        <v>10</v>
      </c>
      <c r="F1107">
        <v>18.1403</v>
      </c>
      <c r="G1107">
        <v>-94.510800000000003</v>
      </c>
      <c r="H1107">
        <v>-6</v>
      </c>
      <c r="I1107">
        <v>16</v>
      </c>
      <c r="J1107" t="str">
        <f>HYPERLINK("https://climate.onebuilding.org/WMO_Region_4_North_and_Central_America/MEX_Mexico/VER_Veracruz/MEX_VER_Coatzacoalcos.767410_TMYx.zip")</f>
        <v>https://climate.onebuilding.org/WMO_Region_4_North_and_Central_America/MEX_Mexico/VER_Veracruz/MEX_VER_Coatzacoalcos.767410_TMYx.zip</v>
      </c>
    </row>
    <row r="1108" spans="1:10" x14ac:dyDescent="0.25">
      <c r="A1108" t="s">
        <v>399</v>
      </c>
      <c r="B1108" t="s">
        <v>660</v>
      </c>
      <c r="C1108" t="s">
        <v>661</v>
      </c>
      <c r="D1108">
        <v>767430</v>
      </c>
      <c r="E1108" t="s">
        <v>662</v>
      </c>
      <c r="F1108">
        <v>17.983000000000001</v>
      </c>
      <c r="G1108">
        <v>-92.933000000000007</v>
      </c>
      <c r="H1108">
        <v>-6</v>
      </c>
      <c r="I1108">
        <v>16</v>
      </c>
      <c r="J1108" t="str">
        <f>HYPERLINK("https://climate.onebuilding.org/WMO_Region_4_North_and_Central_America/MEX_Mexico/TAB_Tabasco/MEX_TAB_Villahermosa.767430_TMYx.2004-2018.zip")</f>
        <v>https://climate.onebuilding.org/WMO_Region_4_North_and_Central_America/MEX_Mexico/TAB_Tabasco/MEX_TAB_Villahermosa.767430_TMYx.2004-2018.zip</v>
      </c>
    </row>
    <row r="1109" spans="1:10" x14ac:dyDescent="0.25">
      <c r="A1109" t="s">
        <v>399</v>
      </c>
      <c r="B1109" t="s">
        <v>660</v>
      </c>
      <c r="C1109" t="s">
        <v>661</v>
      </c>
      <c r="D1109">
        <v>767430</v>
      </c>
      <c r="E1109" t="s">
        <v>10</v>
      </c>
      <c r="F1109">
        <v>17.983000000000001</v>
      </c>
      <c r="G1109">
        <v>-92.933000000000007</v>
      </c>
      <c r="H1109">
        <v>-6</v>
      </c>
      <c r="I1109">
        <v>16</v>
      </c>
      <c r="J1109" t="str">
        <f>HYPERLINK("https://climate.onebuilding.org/WMO_Region_4_North_and_Central_America/MEX_Mexico/TAB_Tabasco/MEX_TAB_Villahermosa.767430_TMYx.2007-2021.zip")</f>
        <v>https://climate.onebuilding.org/WMO_Region_4_North_and_Central_America/MEX_Mexico/TAB_Tabasco/MEX_TAB_Villahermosa.767430_TMYx.2007-2021.zip</v>
      </c>
    </row>
    <row r="1110" spans="1:10" x14ac:dyDescent="0.25">
      <c r="A1110" t="s">
        <v>399</v>
      </c>
      <c r="B1110" t="s">
        <v>660</v>
      </c>
      <c r="C1110" t="s">
        <v>661</v>
      </c>
      <c r="D1110">
        <v>767430</v>
      </c>
      <c r="E1110" t="s">
        <v>10</v>
      </c>
      <c r="F1110">
        <v>17.983000000000001</v>
      </c>
      <c r="G1110">
        <v>-92.933000000000007</v>
      </c>
      <c r="H1110">
        <v>-6</v>
      </c>
      <c r="I1110">
        <v>16</v>
      </c>
      <c r="J1110" t="str">
        <f>HYPERLINK("https://climate.onebuilding.org/WMO_Region_4_North_and_Central_America/MEX_Mexico/TAB_Tabasco/MEX_TAB_Villahermosa.767430_TMYx.2009-2023.zip")</f>
        <v>https://climate.onebuilding.org/WMO_Region_4_North_and_Central_America/MEX_Mexico/TAB_Tabasco/MEX_TAB_Villahermosa.767430_TMYx.2009-2023.zip</v>
      </c>
    </row>
    <row r="1111" spans="1:10" x14ac:dyDescent="0.25">
      <c r="A1111" t="s">
        <v>399</v>
      </c>
      <c r="B1111" t="s">
        <v>660</v>
      </c>
      <c r="C1111" t="s">
        <v>661</v>
      </c>
      <c r="D1111">
        <v>767430</v>
      </c>
      <c r="E1111" t="s">
        <v>10</v>
      </c>
      <c r="F1111">
        <v>17.983000000000001</v>
      </c>
      <c r="G1111">
        <v>-92.933000000000007</v>
      </c>
      <c r="H1111">
        <v>-6</v>
      </c>
      <c r="I1111">
        <v>16</v>
      </c>
      <c r="J1111" t="str">
        <f>HYPERLINK("https://climate.onebuilding.org/WMO_Region_4_North_and_Central_America/MEX_Mexico/TAB_Tabasco/MEX_TAB_Villahermosa.767430_TMYx.zip")</f>
        <v>https://climate.onebuilding.org/WMO_Region_4_North_and_Central_America/MEX_Mexico/TAB_Tabasco/MEX_TAB_Villahermosa.767430_TMYx.zip</v>
      </c>
    </row>
    <row r="1112" spans="1:10" x14ac:dyDescent="0.25">
      <c r="A1112" t="s">
        <v>399</v>
      </c>
      <c r="B1112" t="s">
        <v>660</v>
      </c>
      <c r="C1112" t="s">
        <v>663</v>
      </c>
      <c r="D1112">
        <v>767433</v>
      </c>
      <c r="E1112" t="s">
        <v>664</v>
      </c>
      <c r="F1112">
        <v>17.983000000000001</v>
      </c>
      <c r="G1112">
        <v>-92.816999999999993</v>
      </c>
      <c r="H1112">
        <v>-6</v>
      </c>
      <c r="I1112">
        <v>14</v>
      </c>
      <c r="J1112" t="str">
        <f>HYPERLINK("https://climate.onebuilding.org/WMO_Region_4_North_and_Central_America/MEX_Mexico/TAB_Tabasco/MEX_TAB_Villahermosa-Perez.Intl.AP.767433_TMYx.2004-2018.zip")</f>
        <v>https://climate.onebuilding.org/WMO_Region_4_North_and_Central_America/MEX_Mexico/TAB_Tabasco/MEX_TAB_Villahermosa-Perez.Intl.AP.767433_TMYx.2004-2018.zip</v>
      </c>
    </row>
    <row r="1113" spans="1:10" x14ac:dyDescent="0.25">
      <c r="A1113" t="s">
        <v>399</v>
      </c>
      <c r="B1113" t="s">
        <v>660</v>
      </c>
      <c r="C1113" t="s">
        <v>663</v>
      </c>
      <c r="D1113">
        <v>767433</v>
      </c>
      <c r="E1113" t="s">
        <v>10</v>
      </c>
      <c r="F1113">
        <v>17.983000000000001</v>
      </c>
      <c r="G1113">
        <v>-92.816999999999993</v>
      </c>
      <c r="H1113">
        <v>-6</v>
      </c>
      <c r="I1113">
        <v>14</v>
      </c>
      <c r="J1113" t="str">
        <f>HYPERLINK("https://climate.onebuilding.org/WMO_Region_4_North_and_Central_America/MEX_Mexico/TAB_Tabasco/MEX_TAB_Villahermosa-Perez.Intl.AP.767433_TMYx.2007-2021.zip")</f>
        <v>https://climate.onebuilding.org/WMO_Region_4_North_and_Central_America/MEX_Mexico/TAB_Tabasco/MEX_TAB_Villahermosa-Perez.Intl.AP.767433_TMYx.2007-2021.zip</v>
      </c>
    </row>
    <row r="1114" spans="1:10" x14ac:dyDescent="0.25">
      <c r="A1114" t="s">
        <v>399</v>
      </c>
      <c r="B1114" t="s">
        <v>660</v>
      </c>
      <c r="C1114" t="s">
        <v>663</v>
      </c>
      <c r="D1114">
        <v>767433</v>
      </c>
      <c r="E1114" t="s">
        <v>10</v>
      </c>
      <c r="F1114">
        <v>17.983000000000001</v>
      </c>
      <c r="G1114">
        <v>-92.816999999999993</v>
      </c>
      <c r="H1114">
        <v>-6</v>
      </c>
      <c r="I1114">
        <v>14</v>
      </c>
      <c r="J1114" t="str">
        <f>HYPERLINK("https://climate.onebuilding.org/WMO_Region_4_North_and_Central_America/MEX_Mexico/TAB_Tabasco/MEX_TAB_Villahermosa-Perez.Intl.AP.767433_TMYx.2009-2023.zip")</f>
        <v>https://climate.onebuilding.org/WMO_Region_4_North_and_Central_America/MEX_Mexico/TAB_Tabasco/MEX_TAB_Villahermosa-Perez.Intl.AP.767433_TMYx.2009-2023.zip</v>
      </c>
    </row>
    <row r="1115" spans="1:10" x14ac:dyDescent="0.25">
      <c r="A1115" t="s">
        <v>399</v>
      </c>
      <c r="B1115" t="s">
        <v>660</v>
      </c>
      <c r="C1115" t="s">
        <v>663</v>
      </c>
      <c r="D1115">
        <v>767433</v>
      </c>
      <c r="E1115" t="s">
        <v>10</v>
      </c>
      <c r="F1115">
        <v>17.983000000000001</v>
      </c>
      <c r="G1115">
        <v>-92.816999999999993</v>
      </c>
      <c r="H1115">
        <v>-6</v>
      </c>
      <c r="I1115">
        <v>14</v>
      </c>
      <c r="J1115" t="str">
        <f>HYPERLINK("https://climate.onebuilding.org/WMO_Region_4_North_and_Central_America/MEX_Mexico/TAB_Tabasco/MEX_TAB_Villahermosa-Perez.Intl.AP.767433_TMYx.zip")</f>
        <v>https://climate.onebuilding.org/WMO_Region_4_North_and_Central_America/MEX_Mexico/TAB_Tabasco/MEX_TAB_Villahermosa-Perez.Intl.AP.767433_TMYx.zip</v>
      </c>
    </row>
    <row r="1116" spans="1:10" x14ac:dyDescent="0.25">
      <c r="A1116" t="s">
        <v>399</v>
      </c>
      <c r="B1116" t="s">
        <v>660</v>
      </c>
      <c r="C1116" t="s">
        <v>665</v>
      </c>
      <c r="D1116">
        <v>767441</v>
      </c>
      <c r="E1116" t="s">
        <v>10</v>
      </c>
      <c r="F1116">
        <v>18.016999999999999</v>
      </c>
      <c r="G1116">
        <v>-92.95</v>
      </c>
      <c r="H1116">
        <v>-6</v>
      </c>
      <c r="I1116">
        <v>33</v>
      </c>
      <c r="J1116" t="str">
        <f>HYPERLINK("https://climate.onebuilding.org/WMO_Region_4_North_and_Central_America/MEX_Mexico/TAB_Tabasco/MEX_TAB_Villahermosa-Bosque.de-Saloya.767441_TMYx.zip")</f>
        <v>https://climate.onebuilding.org/WMO_Region_4_North_and_Central_America/MEX_Mexico/TAB_Tabasco/MEX_TAB_Villahermosa-Bosque.de-Saloya.767441_TMYx.zip</v>
      </c>
    </row>
    <row r="1117" spans="1:10" x14ac:dyDescent="0.25">
      <c r="A1117" t="s">
        <v>399</v>
      </c>
      <c r="B1117" t="s">
        <v>641</v>
      </c>
      <c r="C1117" t="s">
        <v>666</v>
      </c>
      <c r="D1117">
        <v>767490</v>
      </c>
      <c r="E1117" t="s">
        <v>10</v>
      </c>
      <c r="F1117">
        <v>18.649999999999999</v>
      </c>
      <c r="G1117">
        <v>-91.783000000000001</v>
      </c>
      <c r="H1117">
        <v>-6</v>
      </c>
      <c r="I1117">
        <v>3</v>
      </c>
      <c r="J1117" t="str">
        <f>HYPERLINK("https://climate.onebuilding.org/WMO_Region_4_North_and_Central_America/MEX_Mexico/CAM_Campeche/MEX_CAM_Ciudad.del.Carmen.767490_TMYx.zip")</f>
        <v>https://climate.onebuilding.org/WMO_Region_4_North_and_Central_America/MEX_Mexico/CAM_Campeche/MEX_CAM_Ciudad.del.Carmen.767490_TMYx.zip</v>
      </c>
    </row>
    <row r="1118" spans="1:10" x14ac:dyDescent="0.25">
      <c r="A1118" t="s">
        <v>399</v>
      </c>
      <c r="B1118" t="s">
        <v>641</v>
      </c>
      <c r="C1118" t="s">
        <v>667</v>
      </c>
      <c r="D1118">
        <v>767493</v>
      </c>
      <c r="E1118" t="s">
        <v>668</v>
      </c>
      <c r="F1118">
        <v>18.654</v>
      </c>
      <c r="G1118">
        <v>-91.799000000000007</v>
      </c>
      <c r="H1118">
        <v>-6</v>
      </c>
      <c r="I1118">
        <v>3</v>
      </c>
      <c r="J1118" t="str">
        <f>HYPERLINK("https://climate.onebuilding.org/WMO_Region_4_North_and_Central_America/MEX_Mexico/CAM_Campeche/MEX_CAM_Ciudad.del.Carmen.Intl.AP.767493_TMYx.2004-2018.zip")</f>
        <v>https://climate.onebuilding.org/WMO_Region_4_North_and_Central_America/MEX_Mexico/CAM_Campeche/MEX_CAM_Ciudad.del.Carmen.Intl.AP.767493_TMYx.2004-2018.zip</v>
      </c>
    </row>
    <row r="1119" spans="1:10" x14ac:dyDescent="0.25">
      <c r="A1119" t="s">
        <v>399</v>
      </c>
      <c r="B1119" t="s">
        <v>641</v>
      </c>
      <c r="C1119" t="s">
        <v>667</v>
      </c>
      <c r="D1119">
        <v>767493</v>
      </c>
      <c r="E1119" t="s">
        <v>10</v>
      </c>
      <c r="F1119">
        <v>18.654</v>
      </c>
      <c r="G1119">
        <v>-91.799000000000007</v>
      </c>
      <c r="H1119">
        <v>-6</v>
      </c>
      <c r="I1119">
        <v>3</v>
      </c>
      <c r="J1119" t="str">
        <f>HYPERLINK("https://climate.onebuilding.org/WMO_Region_4_North_and_Central_America/MEX_Mexico/CAM_Campeche/MEX_CAM_Ciudad.del.Carmen.Intl.AP.767493_TMYx.2007-2021.zip")</f>
        <v>https://climate.onebuilding.org/WMO_Region_4_North_and_Central_America/MEX_Mexico/CAM_Campeche/MEX_CAM_Ciudad.del.Carmen.Intl.AP.767493_TMYx.2007-2021.zip</v>
      </c>
    </row>
    <row r="1120" spans="1:10" x14ac:dyDescent="0.25">
      <c r="A1120" t="s">
        <v>399</v>
      </c>
      <c r="B1120" t="s">
        <v>641</v>
      </c>
      <c r="C1120" t="s">
        <v>667</v>
      </c>
      <c r="D1120">
        <v>767493</v>
      </c>
      <c r="E1120" t="s">
        <v>10</v>
      </c>
      <c r="F1120">
        <v>18.654</v>
      </c>
      <c r="G1120">
        <v>-91.799000000000007</v>
      </c>
      <c r="H1120">
        <v>-6</v>
      </c>
      <c r="I1120">
        <v>3</v>
      </c>
      <c r="J1120" t="str">
        <f>HYPERLINK("https://climate.onebuilding.org/WMO_Region_4_North_and_Central_America/MEX_Mexico/CAM_Campeche/MEX_CAM_Ciudad.del.Carmen.Intl.AP.767493_TMYx.2009-2023.zip")</f>
        <v>https://climate.onebuilding.org/WMO_Region_4_North_and_Central_America/MEX_Mexico/CAM_Campeche/MEX_CAM_Ciudad.del.Carmen.Intl.AP.767493_TMYx.2009-2023.zip</v>
      </c>
    </row>
    <row r="1121" spans="1:10" x14ac:dyDescent="0.25">
      <c r="A1121" t="s">
        <v>399</v>
      </c>
      <c r="B1121" t="s">
        <v>641</v>
      </c>
      <c r="C1121" t="s">
        <v>667</v>
      </c>
      <c r="D1121">
        <v>767493</v>
      </c>
      <c r="E1121" t="s">
        <v>10</v>
      </c>
      <c r="F1121">
        <v>18.654</v>
      </c>
      <c r="G1121">
        <v>-91.799000000000007</v>
      </c>
      <c r="H1121">
        <v>-6</v>
      </c>
      <c r="I1121">
        <v>3</v>
      </c>
      <c r="J1121" t="str">
        <f>HYPERLINK("https://climate.onebuilding.org/WMO_Region_4_North_and_Central_America/MEX_Mexico/CAM_Campeche/MEX_CAM_Ciudad.del.Carmen.Intl.AP.767493_TMYx.zip")</f>
        <v>https://climate.onebuilding.org/WMO_Region_4_North_and_Central_America/MEX_Mexico/CAM_Campeche/MEX_CAM_Ciudad.del.Carmen.Intl.AP.767493_TMYx.zip</v>
      </c>
    </row>
    <row r="1122" spans="1:10" x14ac:dyDescent="0.25">
      <c r="A1122" t="s">
        <v>399</v>
      </c>
      <c r="B1122" t="s">
        <v>560</v>
      </c>
      <c r="C1122" t="s">
        <v>669</v>
      </c>
      <c r="D1122">
        <v>767500</v>
      </c>
      <c r="E1122" t="s">
        <v>670</v>
      </c>
      <c r="F1122">
        <v>18.504999999999999</v>
      </c>
      <c r="G1122">
        <v>-88.326999999999998</v>
      </c>
      <c r="H1122">
        <v>-6</v>
      </c>
      <c r="I1122">
        <v>11.9</v>
      </c>
      <c r="J1122" t="str">
        <f>HYPERLINK("https://climate.onebuilding.org/WMO_Region_4_North_and_Central_America/MEX_Mexico/ROO_Quintana_Roo/MEX_ROO_Chetumal.Intl.AP.767500_TMYx.2004-2018.zip")</f>
        <v>https://climate.onebuilding.org/WMO_Region_4_North_and_Central_America/MEX_Mexico/ROO_Quintana_Roo/MEX_ROO_Chetumal.Intl.AP.767500_TMYx.2004-2018.zip</v>
      </c>
    </row>
    <row r="1123" spans="1:10" x14ac:dyDescent="0.25">
      <c r="A1123" t="s">
        <v>399</v>
      </c>
      <c r="B1123" t="s">
        <v>560</v>
      </c>
      <c r="C1123" t="s">
        <v>669</v>
      </c>
      <c r="D1123">
        <v>767500</v>
      </c>
      <c r="E1123" t="s">
        <v>10</v>
      </c>
      <c r="F1123">
        <v>18.500599999999999</v>
      </c>
      <c r="G1123">
        <v>-88.327799999999996</v>
      </c>
      <c r="H1123">
        <v>-6</v>
      </c>
      <c r="I1123">
        <v>9</v>
      </c>
      <c r="J1123" t="str">
        <f>HYPERLINK("https://climate.onebuilding.org/WMO_Region_4_North_and_Central_America/MEX_Mexico/ROO_Quintana_Roo/MEX_ROO_Chetumal.Intl.AP.767500_TMYx.2007-2021.zip")</f>
        <v>https://climate.onebuilding.org/WMO_Region_4_North_and_Central_America/MEX_Mexico/ROO_Quintana_Roo/MEX_ROO_Chetumal.Intl.AP.767500_TMYx.2007-2021.zip</v>
      </c>
    </row>
    <row r="1124" spans="1:10" x14ac:dyDescent="0.25">
      <c r="A1124" t="s">
        <v>399</v>
      </c>
      <c r="B1124" t="s">
        <v>560</v>
      </c>
      <c r="C1124" t="s">
        <v>669</v>
      </c>
      <c r="D1124">
        <v>767500</v>
      </c>
      <c r="E1124" t="s">
        <v>10</v>
      </c>
      <c r="F1124">
        <v>18.500599999999999</v>
      </c>
      <c r="G1124">
        <v>-88.327799999999996</v>
      </c>
      <c r="H1124">
        <v>-6</v>
      </c>
      <c r="I1124">
        <v>9</v>
      </c>
      <c r="J1124" t="str">
        <f>HYPERLINK("https://climate.onebuilding.org/WMO_Region_4_North_and_Central_America/MEX_Mexico/ROO_Quintana_Roo/MEX_ROO_Chetumal.Intl.AP.767500_TMYx.2009-2023.zip")</f>
        <v>https://climate.onebuilding.org/WMO_Region_4_North_and_Central_America/MEX_Mexico/ROO_Quintana_Roo/MEX_ROO_Chetumal.Intl.AP.767500_TMYx.2009-2023.zip</v>
      </c>
    </row>
    <row r="1125" spans="1:10" x14ac:dyDescent="0.25">
      <c r="A1125" t="s">
        <v>399</v>
      </c>
      <c r="B1125" t="s">
        <v>560</v>
      </c>
      <c r="C1125" t="s">
        <v>669</v>
      </c>
      <c r="D1125">
        <v>767500</v>
      </c>
      <c r="E1125" t="s">
        <v>10</v>
      </c>
      <c r="F1125">
        <v>18.500599999999999</v>
      </c>
      <c r="G1125">
        <v>-88.327799999999996</v>
      </c>
      <c r="H1125">
        <v>-6</v>
      </c>
      <c r="I1125">
        <v>9</v>
      </c>
      <c r="J1125" t="str">
        <f>HYPERLINK("https://climate.onebuilding.org/WMO_Region_4_North_and_Central_America/MEX_Mexico/ROO_Quintana_Roo/MEX_ROO_Chetumal.Intl.AP.767500_TMYx.zip")</f>
        <v>https://climate.onebuilding.org/WMO_Region_4_North_and_Central_America/MEX_Mexico/ROO_Quintana_Roo/MEX_ROO_Chetumal.Intl.AP.767500_TMYx.zip</v>
      </c>
    </row>
    <row r="1126" spans="1:10" x14ac:dyDescent="0.25">
      <c r="A1126" t="s">
        <v>399</v>
      </c>
      <c r="B1126" t="s">
        <v>509</v>
      </c>
      <c r="C1126" t="s">
        <v>671</v>
      </c>
      <c r="D1126">
        <v>767501</v>
      </c>
      <c r="E1126" t="s">
        <v>672</v>
      </c>
      <c r="F1126">
        <v>20.640999999999998</v>
      </c>
      <c r="G1126">
        <v>-88.445999999999998</v>
      </c>
      <c r="H1126">
        <v>-6</v>
      </c>
      <c r="I1126">
        <v>31.1</v>
      </c>
      <c r="J1126" t="str">
        <f>HYPERLINK("https://climate.onebuilding.org/WMO_Region_4_North_and_Central_America/MEX_Mexico/YUC_Yucatan/MEX_YUC_Chichen.Itza.Intl.AP.767501_TMYx.2004-2018.zip")</f>
        <v>https://climate.onebuilding.org/WMO_Region_4_North_and_Central_America/MEX_Mexico/YUC_Yucatan/MEX_YUC_Chichen.Itza.Intl.AP.767501_TMYx.2004-2018.zip</v>
      </c>
    </row>
    <row r="1127" spans="1:10" x14ac:dyDescent="0.25">
      <c r="A1127" t="s">
        <v>399</v>
      </c>
      <c r="B1127" t="s">
        <v>509</v>
      </c>
      <c r="C1127" t="s">
        <v>671</v>
      </c>
      <c r="D1127">
        <v>767501</v>
      </c>
      <c r="E1127" t="s">
        <v>10</v>
      </c>
      <c r="F1127">
        <v>20.640999999999998</v>
      </c>
      <c r="G1127">
        <v>-88.445999999999998</v>
      </c>
      <c r="H1127">
        <v>-6</v>
      </c>
      <c r="I1127">
        <v>31.1</v>
      </c>
      <c r="J1127" t="str">
        <f>HYPERLINK("https://climate.onebuilding.org/WMO_Region_4_North_and_Central_America/MEX_Mexico/YUC_Yucatan/MEX_YUC_Chichen.Itza.Intl.AP.767501_TMYx.2007-2021.zip")</f>
        <v>https://climate.onebuilding.org/WMO_Region_4_North_and_Central_America/MEX_Mexico/YUC_Yucatan/MEX_YUC_Chichen.Itza.Intl.AP.767501_TMYx.2007-2021.zip</v>
      </c>
    </row>
    <row r="1128" spans="1:10" x14ac:dyDescent="0.25">
      <c r="A1128" t="s">
        <v>399</v>
      </c>
      <c r="B1128" t="s">
        <v>509</v>
      </c>
      <c r="C1128" t="s">
        <v>671</v>
      </c>
      <c r="D1128">
        <v>767501</v>
      </c>
      <c r="E1128" t="s">
        <v>10</v>
      </c>
      <c r="F1128">
        <v>20.640999999999998</v>
      </c>
      <c r="G1128">
        <v>-88.445999999999998</v>
      </c>
      <c r="H1128">
        <v>-6</v>
      </c>
      <c r="I1128">
        <v>31.1</v>
      </c>
      <c r="J1128" t="str">
        <f>HYPERLINK("https://climate.onebuilding.org/WMO_Region_4_North_and_Central_America/MEX_Mexico/YUC_Yucatan/MEX_YUC_Chichen.Itza.Intl.AP.767501_TMYx.2009-2023.zip")</f>
        <v>https://climate.onebuilding.org/WMO_Region_4_North_and_Central_America/MEX_Mexico/YUC_Yucatan/MEX_YUC_Chichen.Itza.Intl.AP.767501_TMYx.2009-2023.zip</v>
      </c>
    </row>
    <row r="1129" spans="1:10" x14ac:dyDescent="0.25">
      <c r="A1129" t="s">
        <v>399</v>
      </c>
      <c r="B1129" t="s">
        <v>509</v>
      </c>
      <c r="C1129" t="s">
        <v>671</v>
      </c>
      <c r="D1129">
        <v>767501</v>
      </c>
      <c r="E1129" t="s">
        <v>10</v>
      </c>
      <c r="F1129">
        <v>20.640999999999998</v>
      </c>
      <c r="G1129">
        <v>-88.445999999999998</v>
      </c>
      <c r="H1129">
        <v>-6</v>
      </c>
      <c r="I1129">
        <v>31.1</v>
      </c>
      <c r="J1129" t="str">
        <f>HYPERLINK("https://climate.onebuilding.org/WMO_Region_4_North_and_Central_America/MEX_Mexico/YUC_Yucatan/MEX_YUC_Chichen.Itza.Intl.AP.767501_TMYx.zip")</f>
        <v>https://climate.onebuilding.org/WMO_Region_4_North_and_Central_America/MEX_Mexico/YUC_Yucatan/MEX_YUC_Chichen.Itza.Intl.AP.767501_TMYx.zip</v>
      </c>
    </row>
    <row r="1130" spans="1:10" x14ac:dyDescent="0.25">
      <c r="A1130" t="s">
        <v>399</v>
      </c>
      <c r="B1130" t="s">
        <v>673</v>
      </c>
      <c r="C1130" t="s">
        <v>674</v>
      </c>
      <c r="D1130">
        <v>767502</v>
      </c>
      <c r="E1130" t="s">
        <v>675</v>
      </c>
      <c r="F1130">
        <v>16.449000000000002</v>
      </c>
      <c r="G1130">
        <v>-95.093999999999994</v>
      </c>
      <c r="H1130">
        <v>-6</v>
      </c>
      <c r="I1130">
        <v>50</v>
      </c>
      <c r="J1130" t="str">
        <f>HYPERLINK("https://climate.onebuilding.org/WMO_Region_4_North_and_Central_America/MEX_Mexico/OAX_Oaxaca/MEX_OAX_Ixtepec.AP.767502_TMYx.2004-2018.zip")</f>
        <v>https://climate.onebuilding.org/WMO_Region_4_North_and_Central_America/MEX_Mexico/OAX_Oaxaca/MEX_OAX_Ixtepec.AP.767502_TMYx.2004-2018.zip</v>
      </c>
    </row>
    <row r="1131" spans="1:10" x14ac:dyDescent="0.25">
      <c r="A1131" t="s">
        <v>399</v>
      </c>
      <c r="B1131" t="s">
        <v>673</v>
      </c>
      <c r="C1131" t="s">
        <v>674</v>
      </c>
      <c r="D1131">
        <v>767502</v>
      </c>
      <c r="E1131" t="s">
        <v>10</v>
      </c>
      <c r="F1131">
        <v>16.449000000000002</v>
      </c>
      <c r="G1131">
        <v>-95.093999999999994</v>
      </c>
      <c r="H1131">
        <v>-6</v>
      </c>
      <c r="I1131">
        <v>50</v>
      </c>
      <c r="J1131" t="str">
        <f>HYPERLINK("https://climate.onebuilding.org/WMO_Region_4_North_and_Central_America/MEX_Mexico/OAX_Oaxaca/MEX_OAX_Ixtepec.AP.767502_TMYx.2007-2021.zip")</f>
        <v>https://climate.onebuilding.org/WMO_Region_4_North_and_Central_America/MEX_Mexico/OAX_Oaxaca/MEX_OAX_Ixtepec.AP.767502_TMYx.2007-2021.zip</v>
      </c>
    </row>
    <row r="1132" spans="1:10" x14ac:dyDescent="0.25">
      <c r="A1132" t="s">
        <v>399</v>
      </c>
      <c r="B1132" t="s">
        <v>673</v>
      </c>
      <c r="C1132" t="s">
        <v>674</v>
      </c>
      <c r="D1132">
        <v>767502</v>
      </c>
      <c r="E1132" t="s">
        <v>10</v>
      </c>
      <c r="F1132">
        <v>16.449000000000002</v>
      </c>
      <c r="G1132">
        <v>-95.093999999999994</v>
      </c>
      <c r="H1132">
        <v>-6</v>
      </c>
      <c r="I1132">
        <v>50</v>
      </c>
      <c r="J1132" t="str">
        <f>HYPERLINK("https://climate.onebuilding.org/WMO_Region_4_North_and_Central_America/MEX_Mexico/OAX_Oaxaca/MEX_OAX_Ixtepec.AP.767502_TMYx.2009-2023.zip")</f>
        <v>https://climate.onebuilding.org/WMO_Region_4_North_and_Central_America/MEX_Mexico/OAX_Oaxaca/MEX_OAX_Ixtepec.AP.767502_TMYx.2009-2023.zip</v>
      </c>
    </row>
    <row r="1133" spans="1:10" x14ac:dyDescent="0.25">
      <c r="A1133" t="s">
        <v>399</v>
      </c>
      <c r="B1133" t="s">
        <v>673</v>
      </c>
      <c r="C1133" t="s">
        <v>674</v>
      </c>
      <c r="D1133">
        <v>767502</v>
      </c>
      <c r="E1133" t="s">
        <v>10</v>
      </c>
      <c r="F1133">
        <v>16.449000000000002</v>
      </c>
      <c r="G1133">
        <v>-95.093999999999994</v>
      </c>
      <c r="H1133">
        <v>-6</v>
      </c>
      <c r="I1133">
        <v>50</v>
      </c>
      <c r="J1133" t="str">
        <f>HYPERLINK("https://climate.onebuilding.org/WMO_Region_4_North_and_Central_America/MEX_Mexico/OAX_Oaxaca/MEX_OAX_Ixtepec.AP.767502_TMYx.zip")</f>
        <v>https://climate.onebuilding.org/WMO_Region_4_North_and_Central_America/MEX_Mexico/OAX_Oaxaca/MEX_OAX_Ixtepec.AP.767502_TMYx.zip</v>
      </c>
    </row>
    <row r="1134" spans="1:10" x14ac:dyDescent="0.25">
      <c r="A1134" t="s">
        <v>399</v>
      </c>
      <c r="B1134" t="s">
        <v>429</v>
      </c>
      <c r="C1134" t="s">
        <v>676</v>
      </c>
      <c r="D1134">
        <v>767503</v>
      </c>
      <c r="E1134" t="s">
        <v>677</v>
      </c>
      <c r="F1134">
        <v>22.948</v>
      </c>
      <c r="G1134">
        <v>-109.93899999999999</v>
      </c>
      <c r="H1134">
        <v>-7</v>
      </c>
      <c r="I1134">
        <v>210</v>
      </c>
      <c r="J1134" t="str">
        <f>HYPERLINK("https://climate.onebuilding.org/WMO_Region_4_North_and_Central_America/MEX_Mexico/BCS_Baja_California_Sur/MEX_BCS_Cabo.San.Lucas.Intl.AP.767503_TMYx.2004-2018.zip")</f>
        <v>https://climate.onebuilding.org/WMO_Region_4_North_and_Central_America/MEX_Mexico/BCS_Baja_California_Sur/MEX_BCS_Cabo.San.Lucas.Intl.AP.767503_TMYx.2004-2018.zip</v>
      </c>
    </row>
    <row r="1135" spans="1:10" x14ac:dyDescent="0.25">
      <c r="A1135" t="s">
        <v>399</v>
      </c>
      <c r="B1135" t="s">
        <v>429</v>
      </c>
      <c r="C1135" t="s">
        <v>676</v>
      </c>
      <c r="D1135">
        <v>767503</v>
      </c>
      <c r="E1135" t="s">
        <v>10</v>
      </c>
      <c r="F1135">
        <v>22.948</v>
      </c>
      <c r="G1135">
        <v>-109.93899999999999</v>
      </c>
      <c r="H1135">
        <v>-7</v>
      </c>
      <c r="I1135">
        <v>210</v>
      </c>
      <c r="J1135" t="str">
        <f>HYPERLINK("https://climate.onebuilding.org/WMO_Region_4_North_and_Central_America/MEX_Mexico/BCS_Baja_California_Sur/MEX_BCS_Cabo.San.Lucas.Intl.AP.767503_TMYx.2007-2021.zip")</f>
        <v>https://climate.onebuilding.org/WMO_Region_4_North_and_Central_America/MEX_Mexico/BCS_Baja_California_Sur/MEX_BCS_Cabo.San.Lucas.Intl.AP.767503_TMYx.2007-2021.zip</v>
      </c>
    </row>
    <row r="1136" spans="1:10" x14ac:dyDescent="0.25">
      <c r="A1136" t="s">
        <v>399</v>
      </c>
      <c r="B1136" t="s">
        <v>429</v>
      </c>
      <c r="C1136" t="s">
        <v>676</v>
      </c>
      <c r="D1136">
        <v>767503</v>
      </c>
      <c r="E1136" t="s">
        <v>10</v>
      </c>
      <c r="F1136">
        <v>22.948</v>
      </c>
      <c r="G1136">
        <v>-109.93899999999999</v>
      </c>
      <c r="H1136">
        <v>-7</v>
      </c>
      <c r="I1136">
        <v>210</v>
      </c>
      <c r="J1136" t="str">
        <f>HYPERLINK("https://climate.onebuilding.org/WMO_Region_4_North_and_Central_America/MEX_Mexico/BCS_Baja_California_Sur/MEX_BCS_Cabo.San.Lucas.Intl.AP.767503_TMYx.2009-2023.zip")</f>
        <v>https://climate.onebuilding.org/WMO_Region_4_North_and_Central_America/MEX_Mexico/BCS_Baja_California_Sur/MEX_BCS_Cabo.San.Lucas.Intl.AP.767503_TMYx.2009-2023.zip</v>
      </c>
    </row>
    <row r="1137" spans="1:10" x14ac:dyDescent="0.25">
      <c r="A1137" t="s">
        <v>399</v>
      </c>
      <c r="B1137" t="s">
        <v>429</v>
      </c>
      <c r="C1137" t="s">
        <v>676</v>
      </c>
      <c r="D1137">
        <v>767503</v>
      </c>
      <c r="E1137" t="s">
        <v>10</v>
      </c>
      <c r="F1137">
        <v>22.948</v>
      </c>
      <c r="G1137">
        <v>-109.93899999999999</v>
      </c>
      <c r="H1137">
        <v>-7</v>
      </c>
      <c r="I1137">
        <v>210</v>
      </c>
      <c r="J1137" t="str">
        <f>HYPERLINK("https://climate.onebuilding.org/WMO_Region_4_North_and_Central_America/MEX_Mexico/BCS_Baja_California_Sur/MEX_BCS_Cabo.San.Lucas.Intl.AP.767503_TMYx.zip")</f>
        <v>https://climate.onebuilding.org/WMO_Region_4_North_and_Central_America/MEX_Mexico/BCS_Baja_California_Sur/MEX_BCS_Cabo.San.Lucas.Intl.AP.767503_TMYx.zip</v>
      </c>
    </row>
    <row r="1138" spans="1:10" x14ac:dyDescent="0.25">
      <c r="A1138" t="s">
        <v>399</v>
      </c>
      <c r="B1138" t="s">
        <v>560</v>
      </c>
      <c r="C1138" t="s">
        <v>678</v>
      </c>
      <c r="D1138">
        <v>767510</v>
      </c>
      <c r="E1138" t="s">
        <v>10</v>
      </c>
      <c r="F1138">
        <v>18.503609999999998</v>
      </c>
      <c r="G1138">
        <v>-88.305269999999993</v>
      </c>
      <c r="H1138">
        <v>-6</v>
      </c>
      <c r="I1138">
        <v>13</v>
      </c>
      <c r="J1138" t="str">
        <f>HYPERLINK("https://climate.onebuilding.org/WMO_Region_4_North_and_Central_America/MEX_Mexico/ROO_Quintana_Roo/MEX_ROO_Chetumal.767510_TMYx.2007-2021.zip")</f>
        <v>https://climate.onebuilding.org/WMO_Region_4_North_and_Central_America/MEX_Mexico/ROO_Quintana_Roo/MEX_ROO_Chetumal.767510_TMYx.2007-2021.zip</v>
      </c>
    </row>
    <row r="1139" spans="1:10" x14ac:dyDescent="0.25">
      <c r="A1139" t="s">
        <v>399</v>
      </c>
      <c r="B1139" t="s">
        <v>560</v>
      </c>
      <c r="C1139" t="s">
        <v>678</v>
      </c>
      <c r="D1139">
        <v>767510</v>
      </c>
      <c r="E1139" t="s">
        <v>10</v>
      </c>
      <c r="F1139">
        <v>18.503609999999998</v>
      </c>
      <c r="G1139">
        <v>-88.305269999999993</v>
      </c>
      <c r="H1139">
        <v>-6</v>
      </c>
      <c r="I1139">
        <v>13</v>
      </c>
      <c r="J1139" t="str">
        <f>HYPERLINK("https://climate.onebuilding.org/WMO_Region_4_North_and_Central_America/MEX_Mexico/ROO_Quintana_Roo/MEX_ROO_Chetumal.767510_TMYx.2009-2023.zip")</f>
        <v>https://climate.onebuilding.org/WMO_Region_4_North_and_Central_America/MEX_Mexico/ROO_Quintana_Roo/MEX_ROO_Chetumal.767510_TMYx.2009-2023.zip</v>
      </c>
    </row>
    <row r="1140" spans="1:10" x14ac:dyDescent="0.25">
      <c r="A1140" t="s">
        <v>399</v>
      </c>
      <c r="B1140" t="s">
        <v>560</v>
      </c>
      <c r="C1140" t="s">
        <v>678</v>
      </c>
      <c r="D1140">
        <v>767510</v>
      </c>
      <c r="E1140" t="s">
        <v>10</v>
      </c>
      <c r="F1140">
        <v>18.503609999999998</v>
      </c>
      <c r="G1140">
        <v>-88.305269999999993</v>
      </c>
      <c r="H1140">
        <v>-6</v>
      </c>
      <c r="I1140">
        <v>13</v>
      </c>
      <c r="J1140" t="str">
        <f>HYPERLINK("https://climate.onebuilding.org/WMO_Region_4_North_and_Central_America/MEX_Mexico/ROO_Quintana_Roo/MEX_ROO_Chetumal.767510_TMYx.zip")</f>
        <v>https://climate.onebuilding.org/WMO_Region_4_North_and_Central_America/MEX_Mexico/ROO_Quintana_Roo/MEX_ROO_Chetumal.767510_TMYx.zip</v>
      </c>
    </row>
    <row r="1141" spans="1:10" x14ac:dyDescent="0.25">
      <c r="A1141" t="s">
        <v>399</v>
      </c>
      <c r="B1141" t="s">
        <v>679</v>
      </c>
      <c r="C1141" t="s">
        <v>680</v>
      </c>
      <c r="D1141">
        <v>767581</v>
      </c>
      <c r="E1141" t="s">
        <v>10</v>
      </c>
      <c r="F1141">
        <v>17.649999999999999</v>
      </c>
      <c r="G1141">
        <v>-101.45</v>
      </c>
      <c r="H1141">
        <v>-6</v>
      </c>
      <c r="I1141">
        <v>6</v>
      </c>
      <c r="J1141" t="str">
        <f>HYPERLINK("https://climate.onebuilding.org/WMO_Region_4_North_and_Central_America/MEX_Mexico/GRO_Guerrero/MEX_GRO_Zihuatanejo.767581_TMYx.zip")</f>
        <v>https://climate.onebuilding.org/WMO_Region_4_North_and_Central_America/MEX_Mexico/GRO_Guerrero/MEX_GRO_Zihuatanejo.767581_TMYx.zip</v>
      </c>
    </row>
    <row r="1142" spans="1:10" x14ac:dyDescent="0.25">
      <c r="A1142" t="s">
        <v>399</v>
      </c>
      <c r="B1142" t="s">
        <v>679</v>
      </c>
      <c r="C1142" t="s">
        <v>681</v>
      </c>
      <c r="D1142">
        <v>767584</v>
      </c>
      <c r="E1142" t="s">
        <v>682</v>
      </c>
      <c r="F1142">
        <v>17.602</v>
      </c>
      <c r="G1142">
        <v>-101.461</v>
      </c>
      <c r="H1142">
        <v>-6</v>
      </c>
      <c r="I1142">
        <v>7.9</v>
      </c>
      <c r="J1142" t="str">
        <f>HYPERLINK("https://climate.onebuilding.org/WMO_Region_4_North_and_Central_America/MEX_Mexico/GRO_Guerrero/MEX_GRO_Ixtapa-Zihuatanejo.Intl.AP.767584_TMYx.2004-2018.zip")</f>
        <v>https://climate.onebuilding.org/WMO_Region_4_North_and_Central_America/MEX_Mexico/GRO_Guerrero/MEX_GRO_Ixtapa-Zihuatanejo.Intl.AP.767584_TMYx.2004-2018.zip</v>
      </c>
    </row>
    <row r="1143" spans="1:10" x14ac:dyDescent="0.25">
      <c r="A1143" t="s">
        <v>399</v>
      </c>
      <c r="B1143" t="s">
        <v>679</v>
      </c>
      <c r="C1143" t="s">
        <v>681</v>
      </c>
      <c r="D1143">
        <v>767584</v>
      </c>
      <c r="E1143" t="s">
        <v>10</v>
      </c>
      <c r="F1143">
        <v>17.602</v>
      </c>
      <c r="G1143">
        <v>-101.461</v>
      </c>
      <c r="H1143">
        <v>-6</v>
      </c>
      <c r="I1143">
        <v>7.9</v>
      </c>
      <c r="J1143" t="str">
        <f>HYPERLINK("https://climate.onebuilding.org/WMO_Region_4_North_and_Central_America/MEX_Mexico/GRO_Guerrero/MEX_GRO_Ixtapa-Zihuatanejo.Intl.AP.767584_TMYx.2007-2021.zip")</f>
        <v>https://climate.onebuilding.org/WMO_Region_4_North_and_Central_America/MEX_Mexico/GRO_Guerrero/MEX_GRO_Ixtapa-Zihuatanejo.Intl.AP.767584_TMYx.2007-2021.zip</v>
      </c>
    </row>
    <row r="1144" spans="1:10" x14ac:dyDescent="0.25">
      <c r="A1144" t="s">
        <v>399</v>
      </c>
      <c r="B1144" t="s">
        <v>679</v>
      </c>
      <c r="C1144" t="s">
        <v>681</v>
      </c>
      <c r="D1144">
        <v>767584</v>
      </c>
      <c r="E1144" t="s">
        <v>10</v>
      </c>
      <c r="F1144">
        <v>17.602</v>
      </c>
      <c r="G1144">
        <v>-101.461</v>
      </c>
      <c r="H1144">
        <v>-6</v>
      </c>
      <c r="I1144">
        <v>7.9</v>
      </c>
      <c r="J1144" t="str">
        <f>HYPERLINK("https://climate.onebuilding.org/WMO_Region_4_North_and_Central_America/MEX_Mexico/GRO_Guerrero/MEX_GRO_Ixtapa-Zihuatanejo.Intl.AP.767584_TMYx.2009-2023.zip")</f>
        <v>https://climate.onebuilding.org/WMO_Region_4_North_and_Central_America/MEX_Mexico/GRO_Guerrero/MEX_GRO_Ixtapa-Zihuatanejo.Intl.AP.767584_TMYx.2009-2023.zip</v>
      </c>
    </row>
    <row r="1145" spans="1:10" x14ac:dyDescent="0.25">
      <c r="A1145" t="s">
        <v>399</v>
      </c>
      <c r="B1145" t="s">
        <v>679</v>
      </c>
      <c r="C1145" t="s">
        <v>681</v>
      </c>
      <c r="D1145">
        <v>767584</v>
      </c>
      <c r="E1145" t="s">
        <v>10</v>
      </c>
      <c r="F1145">
        <v>17.602</v>
      </c>
      <c r="G1145">
        <v>-101.461</v>
      </c>
      <c r="H1145">
        <v>-6</v>
      </c>
      <c r="I1145">
        <v>7.9</v>
      </c>
      <c r="J1145" t="str">
        <f>HYPERLINK("https://climate.onebuilding.org/WMO_Region_4_North_and_Central_America/MEX_Mexico/GRO_Guerrero/MEX_GRO_Ixtapa-Zihuatanejo.Intl.AP.767584_TMYx.zip")</f>
        <v>https://climate.onebuilding.org/WMO_Region_4_North_and_Central_America/MEX_Mexico/GRO_Guerrero/MEX_GRO_Ixtapa-Zihuatanejo.Intl.AP.767584_TMYx.zip</v>
      </c>
    </row>
    <row r="1146" spans="1:10" x14ac:dyDescent="0.25">
      <c r="A1146" t="s">
        <v>399</v>
      </c>
      <c r="B1146" t="s">
        <v>679</v>
      </c>
      <c r="C1146" t="s">
        <v>683</v>
      </c>
      <c r="D1146">
        <v>767620</v>
      </c>
      <c r="E1146" t="s">
        <v>684</v>
      </c>
      <c r="F1146">
        <v>17.55</v>
      </c>
      <c r="G1146">
        <v>-99.5</v>
      </c>
      <c r="H1146">
        <v>-6</v>
      </c>
      <c r="I1146">
        <v>1265</v>
      </c>
      <c r="J1146" t="str">
        <f>HYPERLINK("https://climate.onebuilding.org/WMO_Region_4_North_and_Central_America/MEX_Mexico/GRO_Guerrero/MEX_GRO_Chilpancingo.767620_TMYx.2004-2018.zip")</f>
        <v>https://climate.onebuilding.org/WMO_Region_4_North_and_Central_America/MEX_Mexico/GRO_Guerrero/MEX_GRO_Chilpancingo.767620_TMYx.2004-2018.zip</v>
      </c>
    </row>
    <row r="1147" spans="1:10" x14ac:dyDescent="0.25">
      <c r="A1147" t="s">
        <v>399</v>
      </c>
      <c r="B1147" t="s">
        <v>679</v>
      </c>
      <c r="C1147" t="s">
        <v>683</v>
      </c>
      <c r="D1147">
        <v>767620</v>
      </c>
      <c r="E1147" t="s">
        <v>10</v>
      </c>
      <c r="F1147">
        <v>17.55</v>
      </c>
      <c r="G1147">
        <v>-99.5</v>
      </c>
      <c r="H1147">
        <v>-6</v>
      </c>
      <c r="I1147">
        <v>1265</v>
      </c>
      <c r="J1147" t="str">
        <f>HYPERLINK("https://climate.onebuilding.org/WMO_Region_4_North_and_Central_America/MEX_Mexico/GRO_Guerrero/MEX_GRO_Chilpancingo.767620_TMYx.2007-2021.zip")</f>
        <v>https://climate.onebuilding.org/WMO_Region_4_North_and_Central_America/MEX_Mexico/GRO_Guerrero/MEX_GRO_Chilpancingo.767620_TMYx.2007-2021.zip</v>
      </c>
    </row>
    <row r="1148" spans="1:10" x14ac:dyDescent="0.25">
      <c r="A1148" t="s">
        <v>399</v>
      </c>
      <c r="B1148" t="s">
        <v>679</v>
      </c>
      <c r="C1148" t="s">
        <v>683</v>
      </c>
      <c r="D1148">
        <v>767620</v>
      </c>
      <c r="E1148" t="s">
        <v>10</v>
      </c>
      <c r="F1148">
        <v>17.55</v>
      </c>
      <c r="G1148">
        <v>-99.5</v>
      </c>
      <c r="H1148">
        <v>-6</v>
      </c>
      <c r="I1148">
        <v>1265</v>
      </c>
      <c r="J1148" t="str">
        <f>HYPERLINK("https://climate.onebuilding.org/WMO_Region_4_North_and_Central_America/MEX_Mexico/GRO_Guerrero/MEX_GRO_Chilpancingo.767620_TMYx.2009-2023.zip")</f>
        <v>https://climate.onebuilding.org/WMO_Region_4_North_and_Central_America/MEX_Mexico/GRO_Guerrero/MEX_GRO_Chilpancingo.767620_TMYx.2009-2023.zip</v>
      </c>
    </row>
    <row r="1149" spans="1:10" x14ac:dyDescent="0.25">
      <c r="A1149" t="s">
        <v>399</v>
      </c>
      <c r="B1149" t="s">
        <v>679</v>
      </c>
      <c r="C1149" t="s">
        <v>683</v>
      </c>
      <c r="D1149">
        <v>767620</v>
      </c>
      <c r="E1149" t="s">
        <v>10</v>
      </c>
      <c r="F1149">
        <v>17.55</v>
      </c>
      <c r="G1149">
        <v>-99.5</v>
      </c>
      <c r="H1149">
        <v>-6</v>
      </c>
      <c r="I1149">
        <v>1265</v>
      </c>
      <c r="J1149" t="str">
        <f>HYPERLINK("https://climate.onebuilding.org/WMO_Region_4_North_and_Central_America/MEX_Mexico/GRO_Guerrero/MEX_GRO_Chilpancingo.767620_TMYx.zip")</f>
        <v>https://climate.onebuilding.org/WMO_Region_4_North_and_Central_America/MEX_Mexico/GRO_Guerrero/MEX_GRO_Chilpancingo.767620_TMYx.zip</v>
      </c>
    </row>
    <row r="1150" spans="1:10" x14ac:dyDescent="0.25">
      <c r="A1150" t="s">
        <v>399</v>
      </c>
      <c r="B1150" t="s">
        <v>673</v>
      </c>
      <c r="C1150" t="s">
        <v>685</v>
      </c>
      <c r="D1150">
        <v>767730</v>
      </c>
      <c r="E1150" t="s">
        <v>686</v>
      </c>
      <c r="F1150">
        <v>17.8</v>
      </c>
      <c r="G1150">
        <v>-97.766999999999996</v>
      </c>
      <c r="H1150">
        <v>-6</v>
      </c>
      <c r="I1150">
        <v>1650</v>
      </c>
      <c r="J1150" t="str">
        <f>HYPERLINK("https://climate.onebuilding.org/WMO_Region_4_North_and_Central_America/MEX_Mexico/OAX_Oaxaca/MEX_OAX_Huajuapan.de.Leon.767730_TMYx.2004-2018.zip")</f>
        <v>https://climate.onebuilding.org/WMO_Region_4_North_and_Central_America/MEX_Mexico/OAX_Oaxaca/MEX_OAX_Huajuapan.de.Leon.767730_TMYx.2004-2018.zip</v>
      </c>
    </row>
    <row r="1151" spans="1:10" x14ac:dyDescent="0.25">
      <c r="A1151" t="s">
        <v>399</v>
      </c>
      <c r="B1151" t="s">
        <v>673</v>
      </c>
      <c r="C1151" t="s">
        <v>685</v>
      </c>
      <c r="D1151">
        <v>767730</v>
      </c>
      <c r="E1151" t="s">
        <v>10</v>
      </c>
      <c r="F1151">
        <v>17.8</v>
      </c>
      <c r="G1151">
        <v>-97.766999999999996</v>
      </c>
      <c r="H1151">
        <v>-6</v>
      </c>
      <c r="I1151">
        <v>1650</v>
      </c>
      <c r="J1151" t="str">
        <f>HYPERLINK("https://climate.onebuilding.org/WMO_Region_4_North_and_Central_America/MEX_Mexico/OAX_Oaxaca/MEX_OAX_Huajuapan.de.Leon.767730_TMYx.2007-2021.zip")</f>
        <v>https://climate.onebuilding.org/WMO_Region_4_North_and_Central_America/MEX_Mexico/OAX_Oaxaca/MEX_OAX_Huajuapan.de.Leon.767730_TMYx.2007-2021.zip</v>
      </c>
    </row>
    <row r="1152" spans="1:10" x14ac:dyDescent="0.25">
      <c r="A1152" t="s">
        <v>399</v>
      </c>
      <c r="B1152" t="s">
        <v>673</v>
      </c>
      <c r="C1152" t="s">
        <v>685</v>
      </c>
      <c r="D1152">
        <v>767730</v>
      </c>
      <c r="E1152" t="s">
        <v>10</v>
      </c>
      <c r="F1152">
        <v>17.8</v>
      </c>
      <c r="G1152">
        <v>-97.766999999999996</v>
      </c>
      <c r="H1152">
        <v>-6</v>
      </c>
      <c r="I1152">
        <v>1650</v>
      </c>
      <c r="J1152" t="str">
        <f>HYPERLINK("https://climate.onebuilding.org/WMO_Region_4_North_and_Central_America/MEX_Mexico/OAX_Oaxaca/MEX_OAX_Huajuapan.de.Leon.767730_TMYx.2009-2023.zip")</f>
        <v>https://climate.onebuilding.org/WMO_Region_4_North_and_Central_America/MEX_Mexico/OAX_Oaxaca/MEX_OAX_Huajuapan.de.Leon.767730_TMYx.2009-2023.zip</v>
      </c>
    </row>
    <row r="1153" spans="1:10" x14ac:dyDescent="0.25">
      <c r="A1153" t="s">
        <v>399</v>
      </c>
      <c r="B1153" t="s">
        <v>673</v>
      </c>
      <c r="C1153" t="s">
        <v>685</v>
      </c>
      <c r="D1153">
        <v>767730</v>
      </c>
      <c r="E1153" t="s">
        <v>10</v>
      </c>
      <c r="F1153">
        <v>17.8</v>
      </c>
      <c r="G1153">
        <v>-97.766999999999996</v>
      </c>
      <c r="H1153">
        <v>-6</v>
      </c>
      <c r="I1153">
        <v>1650</v>
      </c>
      <c r="J1153" t="str">
        <f>HYPERLINK("https://climate.onebuilding.org/WMO_Region_4_North_and_Central_America/MEX_Mexico/OAX_Oaxaca/MEX_OAX_Huajuapan.de.Leon.767730_TMYx.zip")</f>
        <v>https://climate.onebuilding.org/WMO_Region_4_North_and_Central_America/MEX_Mexico/OAX_Oaxaca/MEX_OAX_Huajuapan.de.Leon.767730_TMYx.zip</v>
      </c>
    </row>
    <row r="1154" spans="1:10" x14ac:dyDescent="0.25">
      <c r="A1154" t="s">
        <v>399</v>
      </c>
      <c r="B1154" t="s">
        <v>673</v>
      </c>
      <c r="C1154" t="s">
        <v>687</v>
      </c>
      <c r="D1154">
        <v>767750</v>
      </c>
      <c r="E1154" t="s">
        <v>688</v>
      </c>
      <c r="F1154">
        <v>17.05</v>
      </c>
      <c r="G1154">
        <v>-96.716999999999999</v>
      </c>
      <c r="H1154">
        <v>-6</v>
      </c>
      <c r="I1154">
        <v>1518</v>
      </c>
      <c r="J1154" t="str">
        <f>HYPERLINK("https://climate.onebuilding.org/WMO_Region_4_North_and_Central_America/MEX_Mexico/OAX_Oaxaca/MEX_OAX_Oaxaca-Xoxocotlan.Intl.AP.767750_TMYx.2004-2018.zip")</f>
        <v>https://climate.onebuilding.org/WMO_Region_4_North_and_Central_America/MEX_Mexico/OAX_Oaxaca/MEX_OAX_Oaxaca-Xoxocotlan.Intl.AP.767750_TMYx.2004-2018.zip</v>
      </c>
    </row>
    <row r="1155" spans="1:10" x14ac:dyDescent="0.25">
      <c r="A1155" t="s">
        <v>399</v>
      </c>
      <c r="B1155" t="s">
        <v>673</v>
      </c>
      <c r="C1155" t="s">
        <v>687</v>
      </c>
      <c r="D1155">
        <v>767750</v>
      </c>
      <c r="E1155" t="s">
        <v>10</v>
      </c>
      <c r="F1155">
        <v>17.001999999999999</v>
      </c>
      <c r="G1155">
        <v>-96.721000000000004</v>
      </c>
      <c r="H1155">
        <v>-6</v>
      </c>
      <c r="I1155">
        <v>1518</v>
      </c>
      <c r="J1155" t="str">
        <f>HYPERLINK("https://climate.onebuilding.org/WMO_Region_4_North_and_Central_America/MEX_Mexico/OAX_Oaxaca/MEX_OAX_Oaxaca-Xoxocotlan.Intl.AP.767750_TMYx.2007-2021.zip")</f>
        <v>https://climate.onebuilding.org/WMO_Region_4_North_and_Central_America/MEX_Mexico/OAX_Oaxaca/MEX_OAX_Oaxaca-Xoxocotlan.Intl.AP.767750_TMYx.2007-2021.zip</v>
      </c>
    </row>
    <row r="1156" spans="1:10" x14ac:dyDescent="0.25">
      <c r="A1156" t="s">
        <v>399</v>
      </c>
      <c r="B1156" t="s">
        <v>673</v>
      </c>
      <c r="C1156" t="s">
        <v>687</v>
      </c>
      <c r="D1156">
        <v>767750</v>
      </c>
      <c r="E1156" t="s">
        <v>10</v>
      </c>
      <c r="F1156">
        <v>17.001999999999999</v>
      </c>
      <c r="G1156">
        <v>-96.721000000000004</v>
      </c>
      <c r="H1156">
        <v>-6</v>
      </c>
      <c r="I1156">
        <v>1518</v>
      </c>
      <c r="J1156" t="str">
        <f>HYPERLINK("https://climate.onebuilding.org/WMO_Region_4_North_and_Central_America/MEX_Mexico/OAX_Oaxaca/MEX_OAX_Oaxaca-Xoxocotlan.Intl.AP.767750_TMYx.2009-2023.zip")</f>
        <v>https://climate.onebuilding.org/WMO_Region_4_North_and_Central_America/MEX_Mexico/OAX_Oaxaca/MEX_OAX_Oaxaca-Xoxocotlan.Intl.AP.767750_TMYx.2009-2023.zip</v>
      </c>
    </row>
    <row r="1157" spans="1:10" x14ac:dyDescent="0.25">
      <c r="A1157" t="s">
        <v>399</v>
      </c>
      <c r="B1157" t="s">
        <v>673</v>
      </c>
      <c r="C1157" t="s">
        <v>687</v>
      </c>
      <c r="D1157">
        <v>767750</v>
      </c>
      <c r="E1157" t="s">
        <v>10</v>
      </c>
      <c r="F1157">
        <v>17.001999999999999</v>
      </c>
      <c r="G1157">
        <v>-96.721000000000004</v>
      </c>
      <c r="H1157">
        <v>-6</v>
      </c>
      <c r="I1157">
        <v>1518</v>
      </c>
      <c r="J1157" t="str">
        <f>HYPERLINK("https://climate.onebuilding.org/WMO_Region_4_North_and_Central_America/MEX_Mexico/OAX_Oaxaca/MEX_OAX_Oaxaca-Xoxocotlan.Intl.AP.767750_TMYx.zip")</f>
        <v>https://climate.onebuilding.org/WMO_Region_4_North_and_Central_America/MEX_Mexico/OAX_Oaxaca/MEX_OAX_Oaxaca-Xoxocotlan.Intl.AP.767750_TMYx.zip</v>
      </c>
    </row>
    <row r="1158" spans="1:10" x14ac:dyDescent="0.25">
      <c r="A1158" t="s">
        <v>399</v>
      </c>
      <c r="B1158" t="s">
        <v>553</v>
      </c>
      <c r="C1158" t="s">
        <v>658</v>
      </c>
      <c r="D1158">
        <v>767810</v>
      </c>
      <c r="E1158" t="s">
        <v>10</v>
      </c>
      <c r="F1158">
        <v>18.149999999999999</v>
      </c>
      <c r="G1158">
        <v>-94.417000000000002</v>
      </c>
      <c r="H1158">
        <v>-6</v>
      </c>
      <c r="I1158">
        <v>14</v>
      </c>
      <c r="J1158" t="str">
        <f>HYPERLINK("https://climate.onebuilding.org/WMO_Region_4_North_and_Central_America/MEX_Mexico/VER_Veracruz/MEX_VER_Coatzacoalcos.767810_TMYx.zip")</f>
        <v>https://climate.onebuilding.org/WMO_Region_4_North_and_Central_America/MEX_Mexico/VER_Veracruz/MEX_VER_Coatzacoalcos.767810_TMYx.zip</v>
      </c>
    </row>
    <row r="1159" spans="1:10" x14ac:dyDescent="0.25">
      <c r="A1159" t="s">
        <v>399</v>
      </c>
      <c r="B1159" t="s">
        <v>648</v>
      </c>
      <c r="C1159" t="s">
        <v>689</v>
      </c>
      <c r="D1159">
        <v>767981</v>
      </c>
      <c r="E1159" t="s">
        <v>18</v>
      </c>
      <c r="F1159">
        <v>18.617000000000001</v>
      </c>
      <c r="G1159">
        <v>-99.25</v>
      </c>
      <c r="H1159">
        <v>-6</v>
      </c>
      <c r="I1159">
        <v>99</v>
      </c>
      <c r="J1159" t="str">
        <f>HYPERLINK("https://climate.onebuilding.org/WMO_Region_4_North_and_Central_America/MEX_Mexico/MOR_Morelos/MEX_MOR_Tequesquitengo.767981_TMYx.2007-2021.zip")</f>
        <v>https://climate.onebuilding.org/WMO_Region_4_North_and_Central_America/MEX_Mexico/MOR_Morelos/MEX_MOR_Tequesquitengo.767981_TMYx.2007-2021.zip</v>
      </c>
    </row>
    <row r="1160" spans="1:10" x14ac:dyDescent="0.25">
      <c r="A1160" t="s">
        <v>399</v>
      </c>
      <c r="B1160" t="s">
        <v>648</v>
      </c>
      <c r="C1160" t="s">
        <v>689</v>
      </c>
      <c r="D1160">
        <v>767981</v>
      </c>
      <c r="E1160" t="s">
        <v>18</v>
      </c>
      <c r="F1160">
        <v>18.617000000000001</v>
      </c>
      <c r="G1160">
        <v>-99.25</v>
      </c>
      <c r="H1160">
        <v>-6</v>
      </c>
      <c r="I1160">
        <v>99</v>
      </c>
      <c r="J1160" t="str">
        <f>HYPERLINK("https://climate.onebuilding.org/WMO_Region_4_North_and_Central_America/MEX_Mexico/MOR_Morelos/MEX_MOR_Tequesquitengo.767981_TMYx.2009-2023.zip")</f>
        <v>https://climate.onebuilding.org/WMO_Region_4_North_and_Central_America/MEX_Mexico/MOR_Morelos/MEX_MOR_Tequesquitengo.767981_TMYx.2009-2023.zip</v>
      </c>
    </row>
    <row r="1161" spans="1:10" x14ac:dyDescent="0.25">
      <c r="A1161" t="s">
        <v>399</v>
      </c>
      <c r="B1161" t="s">
        <v>648</v>
      </c>
      <c r="C1161" t="s">
        <v>689</v>
      </c>
      <c r="D1161">
        <v>767981</v>
      </c>
      <c r="E1161" t="s">
        <v>18</v>
      </c>
      <c r="F1161">
        <v>18.617000000000001</v>
      </c>
      <c r="G1161">
        <v>-99.25</v>
      </c>
      <c r="H1161">
        <v>-6</v>
      </c>
      <c r="I1161">
        <v>99</v>
      </c>
      <c r="J1161" t="str">
        <f>HYPERLINK("https://climate.onebuilding.org/WMO_Region_4_North_and_Central_America/MEX_Mexico/MOR_Morelos/MEX_MOR_Tequesquitengo.767981_TMYx.zip")</f>
        <v>https://climate.onebuilding.org/WMO_Region_4_North_and_Central_America/MEX_Mexico/MOR_Morelos/MEX_MOR_Tequesquitengo.767981_TMYx.zip</v>
      </c>
    </row>
    <row r="1162" spans="1:10" x14ac:dyDescent="0.25">
      <c r="A1162" t="s">
        <v>399</v>
      </c>
      <c r="B1162" t="s">
        <v>679</v>
      </c>
      <c r="C1162" t="s">
        <v>690</v>
      </c>
      <c r="D1162">
        <v>768050</v>
      </c>
      <c r="E1162" t="s">
        <v>691</v>
      </c>
      <c r="F1162">
        <v>16.832999999999998</v>
      </c>
      <c r="G1162">
        <v>-99.933000000000007</v>
      </c>
      <c r="H1162">
        <v>-6</v>
      </c>
      <c r="I1162">
        <v>3</v>
      </c>
      <c r="J1162" t="str">
        <f>HYPERLINK("https://climate.onebuilding.org/WMO_Region_4_North_and_Central_America/MEX_Mexico/GRO_Guerrero/MEX_GRO_Acapulco.768050_TMYx.2004-2018.zip")</f>
        <v>https://climate.onebuilding.org/WMO_Region_4_North_and_Central_America/MEX_Mexico/GRO_Guerrero/MEX_GRO_Acapulco.768050_TMYx.2004-2018.zip</v>
      </c>
    </row>
    <row r="1163" spans="1:10" x14ac:dyDescent="0.25">
      <c r="A1163" t="s">
        <v>399</v>
      </c>
      <c r="B1163" t="s">
        <v>679</v>
      </c>
      <c r="C1163" t="s">
        <v>690</v>
      </c>
      <c r="D1163">
        <v>768050</v>
      </c>
      <c r="E1163" t="s">
        <v>10</v>
      </c>
      <c r="F1163">
        <v>16.832999999999998</v>
      </c>
      <c r="G1163">
        <v>-99.933000000000007</v>
      </c>
      <c r="H1163">
        <v>-6</v>
      </c>
      <c r="I1163">
        <v>3</v>
      </c>
      <c r="J1163" t="str">
        <f>HYPERLINK("https://climate.onebuilding.org/WMO_Region_4_North_and_Central_America/MEX_Mexico/GRO_Guerrero/MEX_GRO_Acapulco.768050_TMYx.2007-2021.zip")</f>
        <v>https://climate.onebuilding.org/WMO_Region_4_North_and_Central_America/MEX_Mexico/GRO_Guerrero/MEX_GRO_Acapulco.768050_TMYx.2007-2021.zip</v>
      </c>
    </row>
    <row r="1164" spans="1:10" x14ac:dyDescent="0.25">
      <c r="A1164" t="s">
        <v>399</v>
      </c>
      <c r="B1164" t="s">
        <v>679</v>
      </c>
      <c r="C1164" t="s">
        <v>690</v>
      </c>
      <c r="D1164">
        <v>768050</v>
      </c>
      <c r="E1164" t="s">
        <v>10</v>
      </c>
      <c r="F1164">
        <v>16.832999999999998</v>
      </c>
      <c r="G1164">
        <v>-99.933000000000007</v>
      </c>
      <c r="H1164">
        <v>-6</v>
      </c>
      <c r="I1164">
        <v>3</v>
      </c>
      <c r="J1164" t="str">
        <f>HYPERLINK("https://climate.onebuilding.org/WMO_Region_4_North_and_Central_America/MEX_Mexico/GRO_Guerrero/MEX_GRO_Acapulco.768050_TMYx.2009-2023.zip")</f>
        <v>https://climate.onebuilding.org/WMO_Region_4_North_and_Central_America/MEX_Mexico/GRO_Guerrero/MEX_GRO_Acapulco.768050_TMYx.2009-2023.zip</v>
      </c>
    </row>
    <row r="1165" spans="1:10" x14ac:dyDescent="0.25">
      <c r="A1165" t="s">
        <v>399</v>
      </c>
      <c r="B1165" t="s">
        <v>679</v>
      </c>
      <c r="C1165" t="s">
        <v>690</v>
      </c>
      <c r="D1165">
        <v>768050</v>
      </c>
      <c r="E1165" t="s">
        <v>10</v>
      </c>
      <c r="F1165">
        <v>16.832999999999998</v>
      </c>
      <c r="G1165">
        <v>-99.933000000000007</v>
      </c>
      <c r="H1165">
        <v>-6</v>
      </c>
      <c r="I1165">
        <v>3</v>
      </c>
      <c r="J1165" t="str">
        <f>HYPERLINK("https://climate.onebuilding.org/WMO_Region_4_North_and_Central_America/MEX_Mexico/GRO_Guerrero/MEX_GRO_Acapulco.768050_TMYx.zip")</f>
        <v>https://climate.onebuilding.org/WMO_Region_4_North_and_Central_America/MEX_Mexico/GRO_Guerrero/MEX_GRO_Acapulco.768050_TMYx.zip</v>
      </c>
    </row>
    <row r="1166" spans="1:10" x14ac:dyDescent="0.25">
      <c r="A1166" t="s">
        <v>399</v>
      </c>
      <c r="B1166" t="s">
        <v>673</v>
      </c>
      <c r="C1166" t="s">
        <v>692</v>
      </c>
      <c r="D1166">
        <v>768055</v>
      </c>
      <c r="E1166" t="s">
        <v>18</v>
      </c>
      <c r="F1166">
        <v>16.350000000000001</v>
      </c>
      <c r="G1166">
        <v>-98.066999999999993</v>
      </c>
      <c r="H1166">
        <v>-6</v>
      </c>
      <c r="I1166">
        <v>76</v>
      </c>
      <c r="J1166" t="str">
        <f>HYPERLINK("https://climate.onebuilding.org/WMO_Region_4_North_and_Central_America/MEX_Mexico/OAX_Oaxaca/MEX_OAX_Pinotepa.Natl.AP.768055_TMYx.2007-2021.zip")</f>
        <v>https://climate.onebuilding.org/WMO_Region_4_North_and_Central_America/MEX_Mexico/OAX_Oaxaca/MEX_OAX_Pinotepa.Natl.AP.768055_TMYx.2007-2021.zip</v>
      </c>
    </row>
    <row r="1167" spans="1:10" x14ac:dyDescent="0.25">
      <c r="A1167" t="s">
        <v>399</v>
      </c>
      <c r="B1167" t="s">
        <v>673</v>
      </c>
      <c r="C1167" t="s">
        <v>692</v>
      </c>
      <c r="D1167">
        <v>768055</v>
      </c>
      <c r="E1167" t="s">
        <v>18</v>
      </c>
      <c r="F1167">
        <v>16.350000000000001</v>
      </c>
      <c r="G1167">
        <v>-98.066999999999993</v>
      </c>
      <c r="H1167">
        <v>-6</v>
      </c>
      <c r="I1167">
        <v>76</v>
      </c>
      <c r="J1167" t="str">
        <f>HYPERLINK("https://climate.onebuilding.org/WMO_Region_4_North_and_Central_America/MEX_Mexico/OAX_Oaxaca/MEX_OAX_Pinotepa.Natl.AP.768055_TMYx.2009-2023.zip")</f>
        <v>https://climate.onebuilding.org/WMO_Region_4_North_and_Central_America/MEX_Mexico/OAX_Oaxaca/MEX_OAX_Pinotepa.Natl.AP.768055_TMYx.2009-2023.zip</v>
      </c>
    </row>
    <row r="1168" spans="1:10" x14ac:dyDescent="0.25">
      <c r="A1168" t="s">
        <v>399</v>
      </c>
      <c r="B1168" t="s">
        <v>673</v>
      </c>
      <c r="C1168" t="s">
        <v>692</v>
      </c>
      <c r="D1168">
        <v>768055</v>
      </c>
      <c r="E1168" t="s">
        <v>18</v>
      </c>
      <c r="F1168">
        <v>16.350000000000001</v>
      </c>
      <c r="G1168">
        <v>-98.066999999999993</v>
      </c>
      <c r="H1168">
        <v>-6</v>
      </c>
      <c r="I1168">
        <v>76</v>
      </c>
      <c r="J1168" t="str">
        <f>HYPERLINK("https://climate.onebuilding.org/WMO_Region_4_North_and_Central_America/MEX_Mexico/OAX_Oaxaca/MEX_OAX_Pinotepa.Natl.AP.768055_TMYx.zip")</f>
        <v>https://climate.onebuilding.org/WMO_Region_4_North_and_Central_America/MEX_Mexico/OAX_Oaxaca/MEX_OAX_Pinotepa.Natl.AP.768055_TMYx.zip</v>
      </c>
    </row>
    <row r="1169" spans="1:10" x14ac:dyDescent="0.25">
      <c r="A1169" t="s">
        <v>399</v>
      </c>
      <c r="B1169" t="s">
        <v>679</v>
      </c>
      <c r="C1169" t="s">
        <v>693</v>
      </c>
      <c r="D1169">
        <v>768056</v>
      </c>
      <c r="E1169" t="s">
        <v>694</v>
      </c>
      <c r="F1169">
        <v>16.757000000000001</v>
      </c>
      <c r="G1169">
        <v>-99.759</v>
      </c>
      <c r="H1169">
        <v>-6</v>
      </c>
      <c r="I1169">
        <v>54</v>
      </c>
      <c r="J1169" t="str">
        <f>HYPERLINK("https://climate.onebuilding.org/WMO_Region_4_North_and_Central_America/MEX_Mexico/GRO_Guerrero/MEX_GRO_Acapulco-Alvarez.Intl.AP.768056_TMYx.2004-2018.zip")</f>
        <v>https://climate.onebuilding.org/WMO_Region_4_North_and_Central_America/MEX_Mexico/GRO_Guerrero/MEX_GRO_Acapulco-Alvarez.Intl.AP.768056_TMYx.2004-2018.zip</v>
      </c>
    </row>
    <row r="1170" spans="1:10" x14ac:dyDescent="0.25">
      <c r="A1170" t="s">
        <v>399</v>
      </c>
      <c r="B1170" t="s">
        <v>679</v>
      </c>
      <c r="C1170" t="s">
        <v>693</v>
      </c>
      <c r="D1170">
        <v>768056</v>
      </c>
      <c r="E1170" t="s">
        <v>10</v>
      </c>
      <c r="F1170">
        <v>16.762799999999999</v>
      </c>
      <c r="G1170">
        <v>-99.749399999999994</v>
      </c>
      <c r="H1170">
        <v>-6</v>
      </c>
      <c r="I1170">
        <v>54</v>
      </c>
      <c r="J1170" t="str">
        <f>HYPERLINK("https://climate.onebuilding.org/WMO_Region_4_North_and_Central_America/MEX_Mexico/GRO_Guerrero/MEX_GRO_Acapulco-Alvarez.Intl.AP.768056_TMYx.2007-2021.zip")</f>
        <v>https://climate.onebuilding.org/WMO_Region_4_North_and_Central_America/MEX_Mexico/GRO_Guerrero/MEX_GRO_Acapulco-Alvarez.Intl.AP.768056_TMYx.2007-2021.zip</v>
      </c>
    </row>
    <row r="1171" spans="1:10" x14ac:dyDescent="0.25">
      <c r="A1171" t="s">
        <v>399</v>
      </c>
      <c r="B1171" t="s">
        <v>679</v>
      </c>
      <c r="C1171" t="s">
        <v>693</v>
      </c>
      <c r="D1171">
        <v>768056</v>
      </c>
      <c r="E1171" t="s">
        <v>10</v>
      </c>
      <c r="F1171">
        <v>16.762799999999999</v>
      </c>
      <c r="G1171">
        <v>-99.749399999999994</v>
      </c>
      <c r="H1171">
        <v>-6</v>
      </c>
      <c r="I1171">
        <v>54</v>
      </c>
      <c r="J1171" t="str">
        <f>HYPERLINK("https://climate.onebuilding.org/WMO_Region_4_North_and_Central_America/MEX_Mexico/GRO_Guerrero/MEX_GRO_Acapulco-Alvarez.Intl.AP.768056_TMYx.2009-2023.zip")</f>
        <v>https://climate.onebuilding.org/WMO_Region_4_North_and_Central_America/MEX_Mexico/GRO_Guerrero/MEX_GRO_Acapulco-Alvarez.Intl.AP.768056_TMYx.2009-2023.zip</v>
      </c>
    </row>
    <row r="1172" spans="1:10" x14ac:dyDescent="0.25">
      <c r="A1172" t="s">
        <v>399</v>
      </c>
      <c r="B1172" t="s">
        <v>679</v>
      </c>
      <c r="C1172" t="s">
        <v>693</v>
      </c>
      <c r="D1172">
        <v>768056</v>
      </c>
      <c r="E1172" t="s">
        <v>10</v>
      </c>
      <c r="F1172">
        <v>16.762799999999999</v>
      </c>
      <c r="G1172">
        <v>-99.749399999999994</v>
      </c>
      <c r="H1172">
        <v>-6</v>
      </c>
      <c r="I1172">
        <v>54</v>
      </c>
      <c r="J1172" t="str">
        <f>HYPERLINK("https://climate.onebuilding.org/WMO_Region_4_North_and_Central_America/MEX_Mexico/GRO_Guerrero/MEX_GRO_Acapulco-Alvarez.Intl.AP.768056_TMYx.zip")</f>
        <v>https://climate.onebuilding.org/WMO_Region_4_North_and_Central_America/MEX_Mexico/GRO_Guerrero/MEX_GRO_Acapulco-Alvarez.Intl.AP.768056_TMYx.zip</v>
      </c>
    </row>
    <row r="1173" spans="1:10" x14ac:dyDescent="0.25">
      <c r="A1173" t="s">
        <v>399</v>
      </c>
      <c r="B1173" t="s">
        <v>673</v>
      </c>
      <c r="C1173" t="s">
        <v>674</v>
      </c>
      <c r="D1173">
        <v>768300</v>
      </c>
      <c r="E1173" t="s">
        <v>18</v>
      </c>
      <c r="F1173">
        <v>16.466999999999999</v>
      </c>
      <c r="G1173">
        <v>-95.1</v>
      </c>
      <c r="H1173">
        <v>-6</v>
      </c>
      <c r="I1173">
        <v>61</v>
      </c>
      <c r="J1173" t="str">
        <f>HYPERLINK("https://climate.onebuilding.org/WMO_Region_4_North_and_Central_America/MEX_Mexico/OAX_Oaxaca/MEX_OAX_Ixtepec.AP.768300_TMYx.2007-2021.zip")</f>
        <v>https://climate.onebuilding.org/WMO_Region_4_North_and_Central_America/MEX_Mexico/OAX_Oaxaca/MEX_OAX_Ixtepec.AP.768300_TMYx.2007-2021.zip</v>
      </c>
    </row>
    <row r="1174" spans="1:10" x14ac:dyDescent="0.25">
      <c r="A1174" t="s">
        <v>399</v>
      </c>
      <c r="B1174" t="s">
        <v>673</v>
      </c>
      <c r="C1174" t="s">
        <v>674</v>
      </c>
      <c r="D1174">
        <v>768300</v>
      </c>
      <c r="E1174" t="s">
        <v>18</v>
      </c>
      <c r="F1174">
        <v>16.466999999999999</v>
      </c>
      <c r="G1174">
        <v>-95.1</v>
      </c>
      <c r="H1174">
        <v>-6</v>
      </c>
      <c r="I1174">
        <v>61</v>
      </c>
      <c r="J1174" t="str">
        <f>HYPERLINK("https://climate.onebuilding.org/WMO_Region_4_North_and_Central_America/MEX_Mexico/OAX_Oaxaca/MEX_OAX_Ixtepec.AP.768300_TMYx.2009-2023.zip")</f>
        <v>https://climate.onebuilding.org/WMO_Region_4_North_and_Central_America/MEX_Mexico/OAX_Oaxaca/MEX_OAX_Ixtepec.AP.768300_TMYx.2009-2023.zip</v>
      </c>
    </row>
    <row r="1175" spans="1:10" x14ac:dyDescent="0.25">
      <c r="A1175" t="s">
        <v>399</v>
      </c>
      <c r="B1175" t="s">
        <v>673</v>
      </c>
      <c r="C1175" t="s">
        <v>674</v>
      </c>
      <c r="D1175">
        <v>768300</v>
      </c>
      <c r="E1175" t="s">
        <v>18</v>
      </c>
      <c r="F1175">
        <v>16.466999999999999</v>
      </c>
      <c r="G1175">
        <v>-95.1</v>
      </c>
      <c r="H1175">
        <v>-6</v>
      </c>
      <c r="I1175">
        <v>61</v>
      </c>
      <c r="J1175" t="str">
        <f>HYPERLINK("https://climate.onebuilding.org/WMO_Region_4_North_and_Central_America/MEX_Mexico/OAX_Oaxaca/MEX_OAX_Ixtepec.AP.768300_TMYx.zip")</f>
        <v>https://climate.onebuilding.org/WMO_Region_4_North_and_Central_America/MEX_Mexico/OAX_Oaxaca/MEX_OAX_Ixtepec.AP.768300_TMYx.zip</v>
      </c>
    </row>
    <row r="1176" spans="1:10" x14ac:dyDescent="0.25">
      <c r="A1176" t="s">
        <v>399</v>
      </c>
      <c r="B1176" t="s">
        <v>673</v>
      </c>
      <c r="C1176" t="s">
        <v>695</v>
      </c>
      <c r="D1176">
        <v>768330</v>
      </c>
      <c r="E1176" t="s">
        <v>696</v>
      </c>
      <c r="F1176">
        <v>16.167000000000002</v>
      </c>
      <c r="G1176">
        <v>-95.183000000000007</v>
      </c>
      <c r="H1176">
        <v>-6</v>
      </c>
      <c r="I1176">
        <v>11</v>
      </c>
      <c r="J1176" t="str">
        <f>HYPERLINK("https://climate.onebuilding.org/WMO_Region_4_North_and_Central_America/MEX_Mexico/OAX_Oaxaca/MEX_OAX_Salina.Cruz.768330_TMYx.2004-2018.zip")</f>
        <v>https://climate.onebuilding.org/WMO_Region_4_North_and_Central_America/MEX_Mexico/OAX_Oaxaca/MEX_OAX_Salina.Cruz.768330_TMYx.2004-2018.zip</v>
      </c>
    </row>
    <row r="1177" spans="1:10" x14ac:dyDescent="0.25">
      <c r="A1177" t="s">
        <v>399</v>
      </c>
      <c r="B1177" t="s">
        <v>673</v>
      </c>
      <c r="C1177" t="s">
        <v>695</v>
      </c>
      <c r="D1177">
        <v>768330</v>
      </c>
      <c r="E1177" t="s">
        <v>10</v>
      </c>
      <c r="F1177">
        <v>16.167000000000002</v>
      </c>
      <c r="G1177">
        <v>-95.183000000000007</v>
      </c>
      <c r="H1177">
        <v>-6</v>
      </c>
      <c r="I1177">
        <v>11</v>
      </c>
      <c r="J1177" t="str">
        <f>HYPERLINK("https://climate.onebuilding.org/WMO_Region_4_North_and_Central_America/MEX_Mexico/OAX_Oaxaca/MEX_OAX_Salina.Cruz.768330_TMYx.2007-2021.zip")</f>
        <v>https://climate.onebuilding.org/WMO_Region_4_North_and_Central_America/MEX_Mexico/OAX_Oaxaca/MEX_OAX_Salina.Cruz.768330_TMYx.2007-2021.zip</v>
      </c>
    </row>
    <row r="1178" spans="1:10" x14ac:dyDescent="0.25">
      <c r="A1178" t="s">
        <v>399</v>
      </c>
      <c r="B1178" t="s">
        <v>673</v>
      </c>
      <c r="C1178" t="s">
        <v>695</v>
      </c>
      <c r="D1178">
        <v>768330</v>
      </c>
      <c r="E1178" t="s">
        <v>10</v>
      </c>
      <c r="F1178">
        <v>16.167000000000002</v>
      </c>
      <c r="G1178">
        <v>-95.183000000000007</v>
      </c>
      <c r="H1178">
        <v>-6</v>
      </c>
      <c r="I1178">
        <v>11</v>
      </c>
      <c r="J1178" t="str">
        <f>HYPERLINK("https://climate.onebuilding.org/WMO_Region_4_North_and_Central_America/MEX_Mexico/OAX_Oaxaca/MEX_OAX_Salina.Cruz.768330_TMYx.2009-2023.zip")</f>
        <v>https://climate.onebuilding.org/WMO_Region_4_North_and_Central_America/MEX_Mexico/OAX_Oaxaca/MEX_OAX_Salina.Cruz.768330_TMYx.2009-2023.zip</v>
      </c>
    </row>
    <row r="1179" spans="1:10" x14ac:dyDescent="0.25">
      <c r="A1179" t="s">
        <v>399</v>
      </c>
      <c r="B1179" t="s">
        <v>673</v>
      </c>
      <c r="C1179" t="s">
        <v>695</v>
      </c>
      <c r="D1179">
        <v>768330</v>
      </c>
      <c r="E1179" t="s">
        <v>10</v>
      </c>
      <c r="F1179">
        <v>16.167000000000002</v>
      </c>
      <c r="G1179">
        <v>-95.183000000000007</v>
      </c>
      <c r="H1179">
        <v>-6</v>
      </c>
      <c r="I1179">
        <v>11</v>
      </c>
      <c r="J1179" t="str">
        <f>HYPERLINK("https://climate.onebuilding.org/WMO_Region_4_North_and_Central_America/MEX_Mexico/OAX_Oaxaca/MEX_OAX_Salina.Cruz.768330_TMYx.zip")</f>
        <v>https://climate.onebuilding.org/WMO_Region_4_North_and_Central_America/MEX_Mexico/OAX_Oaxaca/MEX_OAX_Salina.Cruz.768330_TMYx.zip</v>
      </c>
    </row>
    <row r="1180" spans="1:10" x14ac:dyDescent="0.25">
      <c r="A1180" t="s">
        <v>399</v>
      </c>
      <c r="B1180" t="s">
        <v>416</v>
      </c>
      <c r="C1180" t="s">
        <v>697</v>
      </c>
      <c r="D1180">
        <v>768400</v>
      </c>
      <c r="E1180" t="s">
        <v>698</v>
      </c>
      <c r="F1180">
        <v>16.233000000000001</v>
      </c>
      <c r="G1180">
        <v>-93.9</v>
      </c>
      <c r="H1180">
        <v>-6</v>
      </c>
      <c r="I1180">
        <v>48</v>
      </c>
      <c r="J1180" t="str">
        <f>HYPERLINK("https://climate.onebuilding.org/WMO_Region_4_North_and_Central_America/MEX_Mexico/CHP_Chiapas/MEX_CHP_Arriaga.768400_TMYx.2004-2018.zip")</f>
        <v>https://climate.onebuilding.org/WMO_Region_4_North_and_Central_America/MEX_Mexico/CHP_Chiapas/MEX_CHP_Arriaga.768400_TMYx.2004-2018.zip</v>
      </c>
    </row>
    <row r="1181" spans="1:10" x14ac:dyDescent="0.25">
      <c r="A1181" t="s">
        <v>399</v>
      </c>
      <c r="B1181" t="s">
        <v>416</v>
      </c>
      <c r="C1181" t="s">
        <v>697</v>
      </c>
      <c r="D1181">
        <v>768400</v>
      </c>
      <c r="E1181" t="s">
        <v>10</v>
      </c>
      <c r="F1181">
        <v>16.233000000000001</v>
      </c>
      <c r="G1181">
        <v>-93.9</v>
      </c>
      <c r="H1181">
        <v>-6</v>
      </c>
      <c r="I1181">
        <v>48</v>
      </c>
      <c r="J1181" t="str">
        <f>HYPERLINK("https://climate.onebuilding.org/WMO_Region_4_North_and_Central_America/MEX_Mexico/CHP_Chiapas/MEX_CHP_Arriaga.768400_TMYx.2007-2021.zip")</f>
        <v>https://climate.onebuilding.org/WMO_Region_4_North_and_Central_America/MEX_Mexico/CHP_Chiapas/MEX_CHP_Arriaga.768400_TMYx.2007-2021.zip</v>
      </c>
    </row>
    <row r="1182" spans="1:10" x14ac:dyDescent="0.25">
      <c r="A1182" t="s">
        <v>399</v>
      </c>
      <c r="B1182" t="s">
        <v>416</v>
      </c>
      <c r="C1182" t="s">
        <v>697</v>
      </c>
      <c r="D1182">
        <v>768400</v>
      </c>
      <c r="E1182" t="s">
        <v>10</v>
      </c>
      <c r="F1182">
        <v>16.233000000000001</v>
      </c>
      <c r="G1182">
        <v>-93.9</v>
      </c>
      <c r="H1182">
        <v>-6</v>
      </c>
      <c r="I1182">
        <v>48</v>
      </c>
      <c r="J1182" t="str">
        <f>HYPERLINK("https://climate.onebuilding.org/WMO_Region_4_North_and_Central_America/MEX_Mexico/CHP_Chiapas/MEX_CHP_Arriaga.768400_TMYx.2009-2023.zip")</f>
        <v>https://climate.onebuilding.org/WMO_Region_4_North_and_Central_America/MEX_Mexico/CHP_Chiapas/MEX_CHP_Arriaga.768400_TMYx.2009-2023.zip</v>
      </c>
    </row>
    <row r="1183" spans="1:10" x14ac:dyDescent="0.25">
      <c r="A1183" t="s">
        <v>399</v>
      </c>
      <c r="B1183" t="s">
        <v>416</v>
      </c>
      <c r="C1183" t="s">
        <v>697</v>
      </c>
      <c r="D1183">
        <v>768400</v>
      </c>
      <c r="E1183" t="s">
        <v>10</v>
      </c>
      <c r="F1183">
        <v>16.233000000000001</v>
      </c>
      <c r="G1183">
        <v>-93.9</v>
      </c>
      <c r="H1183">
        <v>-6</v>
      </c>
      <c r="I1183">
        <v>48</v>
      </c>
      <c r="J1183" t="str">
        <f>HYPERLINK("https://climate.onebuilding.org/WMO_Region_4_North_and_Central_America/MEX_Mexico/CHP_Chiapas/MEX_CHP_Arriaga.768400_TMYx.zip")</f>
        <v>https://climate.onebuilding.org/WMO_Region_4_North_and_Central_America/MEX_Mexico/CHP_Chiapas/MEX_CHP_Arriaga.768400_TMYx.zip</v>
      </c>
    </row>
    <row r="1184" spans="1:10" x14ac:dyDescent="0.25">
      <c r="A1184" t="s">
        <v>399</v>
      </c>
      <c r="B1184" t="s">
        <v>416</v>
      </c>
      <c r="C1184" t="s">
        <v>699</v>
      </c>
      <c r="D1184">
        <v>768430</v>
      </c>
      <c r="E1184" t="s">
        <v>700</v>
      </c>
      <c r="F1184">
        <v>16.77</v>
      </c>
      <c r="G1184">
        <v>-93.340999999999994</v>
      </c>
      <c r="H1184">
        <v>-6</v>
      </c>
      <c r="I1184">
        <v>1051.9000000000001</v>
      </c>
      <c r="J1184" t="str">
        <f>HYPERLINK("https://climate.onebuilding.org/WMO_Region_4_North_and_Central_America/MEX_Mexico/CHP_Chiapas/MEX_CHP_Tuxtla.Gutierrez.768430_TMYx.2004-2018.zip")</f>
        <v>https://climate.onebuilding.org/WMO_Region_4_North_and_Central_America/MEX_Mexico/CHP_Chiapas/MEX_CHP_Tuxtla.Gutierrez.768430_TMYx.2004-2018.zip</v>
      </c>
    </row>
    <row r="1185" spans="1:10" x14ac:dyDescent="0.25">
      <c r="A1185" t="s">
        <v>399</v>
      </c>
      <c r="B1185" t="s">
        <v>416</v>
      </c>
      <c r="C1185" t="s">
        <v>699</v>
      </c>
      <c r="D1185">
        <v>768430</v>
      </c>
      <c r="E1185" t="s">
        <v>10</v>
      </c>
      <c r="F1185">
        <v>16.763100000000001</v>
      </c>
      <c r="G1185">
        <v>-93.147499999999994</v>
      </c>
      <c r="H1185">
        <v>-6</v>
      </c>
      <c r="I1185">
        <v>1051.9000000000001</v>
      </c>
      <c r="J1185" t="str">
        <f>HYPERLINK("https://climate.onebuilding.org/WMO_Region_4_North_and_Central_America/MEX_Mexico/CHP_Chiapas/MEX_CHP_Tuxtla.Gutierrez.768430_TMYx.2007-2021.zip")</f>
        <v>https://climate.onebuilding.org/WMO_Region_4_North_and_Central_America/MEX_Mexico/CHP_Chiapas/MEX_CHP_Tuxtla.Gutierrez.768430_TMYx.2007-2021.zip</v>
      </c>
    </row>
    <row r="1186" spans="1:10" x14ac:dyDescent="0.25">
      <c r="A1186" t="s">
        <v>399</v>
      </c>
      <c r="B1186" t="s">
        <v>416</v>
      </c>
      <c r="C1186" t="s">
        <v>699</v>
      </c>
      <c r="D1186">
        <v>768430</v>
      </c>
      <c r="E1186" t="s">
        <v>10</v>
      </c>
      <c r="F1186">
        <v>16.763100000000001</v>
      </c>
      <c r="G1186">
        <v>-93.147499999999994</v>
      </c>
      <c r="H1186">
        <v>-6</v>
      </c>
      <c r="I1186">
        <v>1051.9000000000001</v>
      </c>
      <c r="J1186" t="str">
        <f>HYPERLINK("https://climate.onebuilding.org/WMO_Region_4_North_and_Central_America/MEX_Mexico/CHP_Chiapas/MEX_CHP_Tuxtla.Gutierrez.768430_TMYx.2009-2023.zip")</f>
        <v>https://climate.onebuilding.org/WMO_Region_4_North_and_Central_America/MEX_Mexico/CHP_Chiapas/MEX_CHP_Tuxtla.Gutierrez.768430_TMYx.2009-2023.zip</v>
      </c>
    </row>
    <row r="1187" spans="1:10" x14ac:dyDescent="0.25">
      <c r="A1187" t="s">
        <v>399</v>
      </c>
      <c r="B1187" t="s">
        <v>416</v>
      </c>
      <c r="C1187" t="s">
        <v>699</v>
      </c>
      <c r="D1187">
        <v>768430</v>
      </c>
      <c r="E1187" t="s">
        <v>10</v>
      </c>
      <c r="F1187">
        <v>16.763100000000001</v>
      </c>
      <c r="G1187">
        <v>-93.147499999999994</v>
      </c>
      <c r="H1187">
        <v>-6</v>
      </c>
      <c r="I1187">
        <v>1051.9000000000001</v>
      </c>
      <c r="J1187" t="str">
        <f>HYPERLINK("https://climate.onebuilding.org/WMO_Region_4_North_and_Central_America/MEX_Mexico/CHP_Chiapas/MEX_CHP_Tuxtla.Gutierrez.768430_TMYx.zip")</f>
        <v>https://climate.onebuilding.org/WMO_Region_4_North_and_Central_America/MEX_Mexico/CHP_Chiapas/MEX_CHP_Tuxtla.Gutierrez.768430_TMYx.zip</v>
      </c>
    </row>
    <row r="1188" spans="1:10" x14ac:dyDescent="0.25">
      <c r="A1188" t="s">
        <v>399</v>
      </c>
      <c r="B1188" t="s">
        <v>641</v>
      </c>
      <c r="C1188" t="s">
        <v>701</v>
      </c>
      <c r="D1188">
        <v>768435</v>
      </c>
      <c r="E1188" t="s">
        <v>10</v>
      </c>
      <c r="F1188">
        <v>18.25</v>
      </c>
      <c r="G1188">
        <v>-92.082999999999998</v>
      </c>
      <c r="H1188">
        <v>-6</v>
      </c>
      <c r="I1188">
        <v>15</v>
      </c>
      <c r="J1188" t="str">
        <f>HYPERLINK("https://climate.onebuilding.org/WMO_Region_4_North_and_Central_America/MEX_Mexico/CAM_Campeche/MEX_CAM_Palizada.768435_TMYx.zip")</f>
        <v>https://climate.onebuilding.org/WMO_Region_4_North_and_Central_America/MEX_Mexico/CAM_Campeche/MEX_CAM_Palizada.768435_TMYx.zip</v>
      </c>
    </row>
    <row r="1189" spans="1:10" x14ac:dyDescent="0.25">
      <c r="A1189" t="s">
        <v>399</v>
      </c>
      <c r="B1189" t="s">
        <v>416</v>
      </c>
      <c r="C1189" t="s">
        <v>702</v>
      </c>
      <c r="D1189">
        <v>768450</v>
      </c>
      <c r="E1189" t="s">
        <v>703</v>
      </c>
      <c r="F1189">
        <v>16.75</v>
      </c>
      <c r="G1189">
        <v>-92.632999999999996</v>
      </c>
      <c r="H1189">
        <v>-6</v>
      </c>
      <c r="I1189">
        <v>2116</v>
      </c>
      <c r="J1189" t="str">
        <f>HYPERLINK("https://climate.onebuilding.org/WMO_Region_4_North_and_Central_America/MEX_Mexico/CHP_Chiapas/MEX_CHP_San.Cristobal.de.Las.Casas-Jovel.768450_TMYx.2004-2018.zip")</f>
        <v>https://climate.onebuilding.org/WMO_Region_4_North_and_Central_America/MEX_Mexico/CHP_Chiapas/MEX_CHP_San.Cristobal.de.Las.Casas-Jovel.768450_TMYx.2004-2018.zip</v>
      </c>
    </row>
    <row r="1190" spans="1:10" x14ac:dyDescent="0.25">
      <c r="A1190" t="s">
        <v>399</v>
      </c>
      <c r="B1190" t="s">
        <v>416</v>
      </c>
      <c r="C1190" t="s">
        <v>702</v>
      </c>
      <c r="D1190">
        <v>768450</v>
      </c>
      <c r="E1190" t="s">
        <v>10</v>
      </c>
      <c r="F1190">
        <v>16.75</v>
      </c>
      <c r="G1190">
        <v>-92.632999999999996</v>
      </c>
      <c r="H1190">
        <v>-6</v>
      </c>
      <c r="I1190">
        <v>2116</v>
      </c>
      <c r="J1190" t="str">
        <f>HYPERLINK("https://climate.onebuilding.org/WMO_Region_4_North_and_Central_America/MEX_Mexico/CHP_Chiapas/MEX_CHP_San.Cristobal.de.Las.Casas-Jovel.768450_TMYx.2007-2021.zip")</f>
        <v>https://climate.onebuilding.org/WMO_Region_4_North_and_Central_America/MEX_Mexico/CHP_Chiapas/MEX_CHP_San.Cristobal.de.Las.Casas-Jovel.768450_TMYx.2007-2021.zip</v>
      </c>
    </row>
    <row r="1191" spans="1:10" x14ac:dyDescent="0.25">
      <c r="A1191" t="s">
        <v>399</v>
      </c>
      <c r="B1191" t="s">
        <v>416</v>
      </c>
      <c r="C1191" t="s">
        <v>702</v>
      </c>
      <c r="D1191">
        <v>768450</v>
      </c>
      <c r="E1191" t="s">
        <v>10</v>
      </c>
      <c r="F1191">
        <v>16.75</v>
      </c>
      <c r="G1191">
        <v>-92.632999999999996</v>
      </c>
      <c r="H1191">
        <v>-6</v>
      </c>
      <c r="I1191">
        <v>2116</v>
      </c>
      <c r="J1191" t="str">
        <f>HYPERLINK("https://climate.onebuilding.org/WMO_Region_4_North_and_Central_America/MEX_Mexico/CHP_Chiapas/MEX_CHP_San.Cristobal.de.Las.Casas-Jovel.768450_TMYx.2009-2023.zip")</f>
        <v>https://climate.onebuilding.org/WMO_Region_4_North_and_Central_America/MEX_Mexico/CHP_Chiapas/MEX_CHP_San.Cristobal.de.Las.Casas-Jovel.768450_TMYx.2009-2023.zip</v>
      </c>
    </row>
    <row r="1192" spans="1:10" x14ac:dyDescent="0.25">
      <c r="A1192" t="s">
        <v>399</v>
      </c>
      <c r="B1192" t="s">
        <v>416</v>
      </c>
      <c r="C1192" t="s">
        <v>702</v>
      </c>
      <c r="D1192">
        <v>768450</v>
      </c>
      <c r="E1192" t="s">
        <v>10</v>
      </c>
      <c r="F1192">
        <v>16.75</v>
      </c>
      <c r="G1192">
        <v>-92.632999999999996</v>
      </c>
      <c r="H1192">
        <v>-6</v>
      </c>
      <c r="I1192">
        <v>2116</v>
      </c>
      <c r="J1192" t="str">
        <f>HYPERLINK("https://climate.onebuilding.org/WMO_Region_4_North_and_Central_America/MEX_Mexico/CHP_Chiapas/MEX_CHP_San.Cristobal.de.Las.Casas-Jovel.768450_TMYx.zip")</f>
        <v>https://climate.onebuilding.org/WMO_Region_4_North_and_Central_America/MEX_Mexico/CHP_Chiapas/MEX_CHP_San.Cristobal.de.Las.Casas-Jovel.768450_TMYx.zip</v>
      </c>
    </row>
    <row r="1193" spans="1:10" x14ac:dyDescent="0.25">
      <c r="A1193" t="s">
        <v>399</v>
      </c>
      <c r="B1193" t="s">
        <v>416</v>
      </c>
      <c r="C1193" t="s">
        <v>704</v>
      </c>
      <c r="D1193">
        <v>768480</v>
      </c>
      <c r="E1193" t="s">
        <v>705</v>
      </c>
      <c r="F1193">
        <v>16.25</v>
      </c>
      <c r="G1193">
        <v>-92.132999999999996</v>
      </c>
      <c r="H1193">
        <v>-6</v>
      </c>
      <c r="I1193">
        <v>1646</v>
      </c>
      <c r="J1193" t="str">
        <f>HYPERLINK("https://climate.onebuilding.org/WMO_Region_4_North_and_Central_America/MEX_Mexico/CHP_Chiapas/MEX_CHP_Comitan.de.Dominguiz.768480_TMYx.2004-2018.zip")</f>
        <v>https://climate.onebuilding.org/WMO_Region_4_North_and_Central_America/MEX_Mexico/CHP_Chiapas/MEX_CHP_Comitan.de.Dominguiz.768480_TMYx.2004-2018.zip</v>
      </c>
    </row>
    <row r="1194" spans="1:10" x14ac:dyDescent="0.25">
      <c r="A1194" t="s">
        <v>399</v>
      </c>
      <c r="B1194" t="s">
        <v>416</v>
      </c>
      <c r="C1194" t="s">
        <v>704</v>
      </c>
      <c r="D1194">
        <v>768480</v>
      </c>
      <c r="E1194" t="s">
        <v>10</v>
      </c>
      <c r="F1194">
        <v>16.2319</v>
      </c>
      <c r="G1194">
        <v>-92.135300000000001</v>
      </c>
      <c r="H1194">
        <v>-6</v>
      </c>
      <c r="I1194">
        <v>1646</v>
      </c>
      <c r="J1194" t="str">
        <f>HYPERLINK("https://climate.onebuilding.org/WMO_Region_4_North_and_Central_America/MEX_Mexico/CHP_Chiapas/MEX_CHP_Comitan.de.Dominguiz.768480_TMYx.2007-2021.zip")</f>
        <v>https://climate.onebuilding.org/WMO_Region_4_North_and_Central_America/MEX_Mexico/CHP_Chiapas/MEX_CHP_Comitan.de.Dominguiz.768480_TMYx.2007-2021.zip</v>
      </c>
    </row>
    <row r="1195" spans="1:10" x14ac:dyDescent="0.25">
      <c r="A1195" t="s">
        <v>399</v>
      </c>
      <c r="B1195" t="s">
        <v>416</v>
      </c>
      <c r="C1195" t="s">
        <v>704</v>
      </c>
      <c r="D1195">
        <v>768480</v>
      </c>
      <c r="E1195" t="s">
        <v>10</v>
      </c>
      <c r="F1195">
        <v>16.2319</v>
      </c>
      <c r="G1195">
        <v>-92.135300000000001</v>
      </c>
      <c r="H1195">
        <v>-6</v>
      </c>
      <c r="I1195">
        <v>1646</v>
      </c>
      <c r="J1195" t="str">
        <f>HYPERLINK("https://climate.onebuilding.org/WMO_Region_4_North_and_Central_America/MEX_Mexico/CHP_Chiapas/MEX_CHP_Comitan.de.Dominguiz.768480_TMYx.2009-2023.zip")</f>
        <v>https://climate.onebuilding.org/WMO_Region_4_North_and_Central_America/MEX_Mexico/CHP_Chiapas/MEX_CHP_Comitan.de.Dominguiz.768480_TMYx.2009-2023.zip</v>
      </c>
    </row>
    <row r="1196" spans="1:10" x14ac:dyDescent="0.25">
      <c r="A1196" t="s">
        <v>399</v>
      </c>
      <c r="B1196" t="s">
        <v>416</v>
      </c>
      <c r="C1196" t="s">
        <v>704</v>
      </c>
      <c r="D1196">
        <v>768480</v>
      </c>
      <c r="E1196" t="s">
        <v>10</v>
      </c>
      <c r="F1196">
        <v>16.2319</v>
      </c>
      <c r="G1196">
        <v>-92.135300000000001</v>
      </c>
      <c r="H1196">
        <v>-6</v>
      </c>
      <c r="I1196">
        <v>1646</v>
      </c>
      <c r="J1196" t="str">
        <f>HYPERLINK("https://climate.onebuilding.org/WMO_Region_4_North_and_Central_America/MEX_Mexico/CHP_Chiapas/MEX_CHP_Comitan.de.Dominguiz.768480_TMYx.zip")</f>
        <v>https://climate.onebuilding.org/WMO_Region_4_North_and_Central_America/MEX_Mexico/CHP_Chiapas/MEX_CHP_Comitan.de.Dominguiz.768480_TMYx.zip</v>
      </c>
    </row>
    <row r="1197" spans="1:10" x14ac:dyDescent="0.25">
      <c r="A1197" t="s">
        <v>399</v>
      </c>
      <c r="B1197" t="s">
        <v>673</v>
      </c>
      <c r="C1197" t="s">
        <v>706</v>
      </c>
      <c r="D1197">
        <v>768485</v>
      </c>
      <c r="E1197" t="s">
        <v>707</v>
      </c>
      <c r="F1197">
        <v>15.775</v>
      </c>
      <c r="G1197">
        <v>-96.263000000000005</v>
      </c>
      <c r="H1197">
        <v>-6</v>
      </c>
      <c r="I1197">
        <v>141.4</v>
      </c>
      <c r="J1197" t="str">
        <f>HYPERLINK("https://climate.onebuilding.org/WMO_Region_4_North_and_Central_America/MEX_Mexico/OAX_Oaxaca/MEX_OAX_Bahias.de.Huatulco.Intl.AP.768485_TMYx.2004-2018.zip")</f>
        <v>https://climate.onebuilding.org/WMO_Region_4_North_and_Central_America/MEX_Mexico/OAX_Oaxaca/MEX_OAX_Bahias.de.Huatulco.Intl.AP.768485_TMYx.2004-2018.zip</v>
      </c>
    </row>
    <row r="1198" spans="1:10" x14ac:dyDescent="0.25">
      <c r="A1198" t="s">
        <v>399</v>
      </c>
      <c r="B1198" t="s">
        <v>673</v>
      </c>
      <c r="C1198" t="s">
        <v>706</v>
      </c>
      <c r="D1198">
        <v>768485</v>
      </c>
      <c r="E1198" t="s">
        <v>10</v>
      </c>
      <c r="F1198">
        <v>15.775</v>
      </c>
      <c r="G1198">
        <v>-96.263000000000005</v>
      </c>
      <c r="H1198">
        <v>-6</v>
      </c>
      <c r="I1198">
        <v>141.4</v>
      </c>
      <c r="J1198" t="str">
        <f>HYPERLINK("https://climate.onebuilding.org/WMO_Region_4_North_and_Central_America/MEX_Mexico/OAX_Oaxaca/MEX_OAX_Bahias.de.Huatulco.Intl.AP.768485_TMYx.2007-2021.zip")</f>
        <v>https://climate.onebuilding.org/WMO_Region_4_North_and_Central_America/MEX_Mexico/OAX_Oaxaca/MEX_OAX_Bahias.de.Huatulco.Intl.AP.768485_TMYx.2007-2021.zip</v>
      </c>
    </row>
    <row r="1199" spans="1:10" x14ac:dyDescent="0.25">
      <c r="A1199" t="s">
        <v>399</v>
      </c>
      <c r="B1199" t="s">
        <v>673</v>
      </c>
      <c r="C1199" t="s">
        <v>706</v>
      </c>
      <c r="D1199">
        <v>768485</v>
      </c>
      <c r="E1199" t="s">
        <v>10</v>
      </c>
      <c r="F1199">
        <v>15.775</v>
      </c>
      <c r="G1199">
        <v>-96.263000000000005</v>
      </c>
      <c r="H1199">
        <v>-6</v>
      </c>
      <c r="I1199">
        <v>141.4</v>
      </c>
      <c r="J1199" t="str">
        <f>HYPERLINK("https://climate.onebuilding.org/WMO_Region_4_North_and_Central_America/MEX_Mexico/OAX_Oaxaca/MEX_OAX_Bahias.de.Huatulco.Intl.AP.768485_TMYx.2009-2023.zip")</f>
        <v>https://climate.onebuilding.org/WMO_Region_4_North_and_Central_America/MEX_Mexico/OAX_Oaxaca/MEX_OAX_Bahias.de.Huatulco.Intl.AP.768485_TMYx.2009-2023.zip</v>
      </c>
    </row>
    <row r="1200" spans="1:10" x14ac:dyDescent="0.25">
      <c r="A1200" t="s">
        <v>399</v>
      </c>
      <c r="B1200" t="s">
        <v>673</v>
      </c>
      <c r="C1200" t="s">
        <v>706</v>
      </c>
      <c r="D1200">
        <v>768485</v>
      </c>
      <c r="E1200" t="s">
        <v>10</v>
      </c>
      <c r="F1200">
        <v>15.775</v>
      </c>
      <c r="G1200">
        <v>-96.263000000000005</v>
      </c>
      <c r="H1200">
        <v>-6</v>
      </c>
      <c r="I1200">
        <v>141.4</v>
      </c>
      <c r="J1200" t="str">
        <f>HYPERLINK("https://climate.onebuilding.org/WMO_Region_4_North_and_Central_America/MEX_Mexico/OAX_Oaxaca/MEX_OAX_Bahias.de.Huatulco.Intl.AP.768485_TMYx.zip")</f>
        <v>https://climate.onebuilding.org/WMO_Region_4_North_and_Central_America/MEX_Mexico/OAX_Oaxaca/MEX_OAX_Bahias.de.Huatulco.Intl.AP.768485_TMYx.zip</v>
      </c>
    </row>
    <row r="1201" spans="1:10" x14ac:dyDescent="0.25">
      <c r="A1201" t="s">
        <v>399</v>
      </c>
      <c r="B1201" t="s">
        <v>673</v>
      </c>
      <c r="C1201" t="s">
        <v>708</v>
      </c>
      <c r="D1201">
        <v>768550</v>
      </c>
      <c r="E1201" t="s">
        <v>709</v>
      </c>
      <c r="F1201">
        <v>15.6678</v>
      </c>
      <c r="G1201">
        <v>-96.489699999999999</v>
      </c>
      <c r="H1201">
        <v>-6</v>
      </c>
      <c r="I1201">
        <v>46</v>
      </c>
      <c r="J1201" t="str">
        <f>HYPERLINK("https://climate.onebuilding.org/WMO_Region_4_North_and_Central_America/MEX_Mexico/OAX_Oaxaca/MEX_OAX_Puerto.Angel-San.Pedro.Pochutla.768550_TMYx.2004-2018.zip")</f>
        <v>https://climate.onebuilding.org/WMO_Region_4_North_and_Central_America/MEX_Mexico/OAX_Oaxaca/MEX_OAX_Puerto.Angel-San.Pedro.Pochutla.768550_TMYx.2004-2018.zip</v>
      </c>
    </row>
    <row r="1202" spans="1:10" x14ac:dyDescent="0.25">
      <c r="A1202" t="s">
        <v>399</v>
      </c>
      <c r="B1202" t="s">
        <v>673</v>
      </c>
      <c r="C1202" t="s">
        <v>708</v>
      </c>
      <c r="D1202">
        <v>768550</v>
      </c>
      <c r="E1202" t="s">
        <v>10</v>
      </c>
      <c r="F1202">
        <v>15.6678</v>
      </c>
      <c r="G1202">
        <v>-96.489699999999999</v>
      </c>
      <c r="H1202">
        <v>-6</v>
      </c>
      <c r="I1202">
        <v>46</v>
      </c>
      <c r="J1202" t="str">
        <f>HYPERLINK("https://climate.onebuilding.org/WMO_Region_4_North_and_Central_America/MEX_Mexico/OAX_Oaxaca/MEX_OAX_Puerto.Angel-San.Pedro.Pochutla.768550_TMYx.2007-2021.zip")</f>
        <v>https://climate.onebuilding.org/WMO_Region_4_North_and_Central_America/MEX_Mexico/OAX_Oaxaca/MEX_OAX_Puerto.Angel-San.Pedro.Pochutla.768550_TMYx.2007-2021.zip</v>
      </c>
    </row>
    <row r="1203" spans="1:10" x14ac:dyDescent="0.25">
      <c r="A1203" t="s">
        <v>399</v>
      </c>
      <c r="B1203" t="s">
        <v>673</v>
      </c>
      <c r="C1203" t="s">
        <v>708</v>
      </c>
      <c r="D1203">
        <v>768550</v>
      </c>
      <c r="E1203" t="s">
        <v>10</v>
      </c>
      <c r="F1203">
        <v>15.6678</v>
      </c>
      <c r="G1203">
        <v>-96.489699999999999</v>
      </c>
      <c r="H1203">
        <v>-6</v>
      </c>
      <c r="I1203">
        <v>46</v>
      </c>
      <c r="J1203" t="str">
        <f>HYPERLINK("https://climate.onebuilding.org/WMO_Region_4_North_and_Central_America/MEX_Mexico/OAX_Oaxaca/MEX_OAX_Puerto.Angel-San.Pedro.Pochutla.768550_TMYx.2009-2023.zip")</f>
        <v>https://climate.onebuilding.org/WMO_Region_4_North_and_Central_America/MEX_Mexico/OAX_Oaxaca/MEX_OAX_Puerto.Angel-San.Pedro.Pochutla.768550_TMYx.2009-2023.zip</v>
      </c>
    </row>
    <row r="1204" spans="1:10" x14ac:dyDescent="0.25">
      <c r="A1204" t="s">
        <v>399</v>
      </c>
      <c r="B1204" t="s">
        <v>673</v>
      </c>
      <c r="C1204" t="s">
        <v>708</v>
      </c>
      <c r="D1204">
        <v>768550</v>
      </c>
      <c r="E1204" t="s">
        <v>10</v>
      </c>
      <c r="F1204">
        <v>15.6678</v>
      </c>
      <c r="G1204">
        <v>-96.489699999999999</v>
      </c>
      <c r="H1204">
        <v>-6</v>
      </c>
      <c r="I1204">
        <v>46</v>
      </c>
      <c r="J1204" t="str">
        <f>HYPERLINK("https://climate.onebuilding.org/WMO_Region_4_North_and_Central_America/MEX_Mexico/OAX_Oaxaca/MEX_OAX_Puerto.Angel-San.Pedro.Pochutla.768550_TMYx.zip")</f>
        <v>https://climate.onebuilding.org/WMO_Region_4_North_and_Central_America/MEX_Mexico/OAX_Oaxaca/MEX_OAX_Puerto.Angel-San.Pedro.Pochutla.768550_TMYx.zip</v>
      </c>
    </row>
    <row r="1205" spans="1:10" x14ac:dyDescent="0.25">
      <c r="A1205" t="s">
        <v>399</v>
      </c>
      <c r="B1205" t="s">
        <v>673</v>
      </c>
      <c r="C1205" t="s">
        <v>710</v>
      </c>
      <c r="D1205">
        <v>768556</v>
      </c>
      <c r="E1205" t="s">
        <v>711</v>
      </c>
      <c r="F1205">
        <v>15.877000000000001</v>
      </c>
      <c r="G1205">
        <v>-97.088999999999999</v>
      </c>
      <c r="H1205">
        <v>-6</v>
      </c>
      <c r="I1205">
        <v>89.6</v>
      </c>
      <c r="J1205" t="str">
        <f>HYPERLINK("https://climate.onebuilding.org/WMO_Region_4_North_and_Central_America/MEX_Mexico/OAX_Oaxaca/MEX_OAX_Puerto.Escondido.Intl.AP.768556_TMYx.2004-2018.zip")</f>
        <v>https://climate.onebuilding.org/WMO_Region_4_North_and_Central_America/MEX_Mexico/OAX_Oaxaca/MEX_OAX_Puerto.Escondido.Intl.AP.768556_TMYx.2004-2018.zip</v>
      </c>
    </row>
    <row r="1206" spans="1:10" x14ac:dyDescent="0.25">
      <c r="A1206" t="s">
        <v>399</v>
      </c>
      <c r="B1206" t="s">
        <v>673</v>
      </c>
      <c r="C1206" t="s">
        <v>710</v>
      </c>
      <c r="D1206">
        <v>768556</v>
      </c>
      <c r="E1206" t="s">
        <v>10</v>
      </c>
      <c r="F1206">
        <v>15.877000000000001</v>
      </c>
      <c r="G1206">
        <v>-97.088999999999999</v>
      </c>
      <c r="H1206">
        <v>-6</v>
      </c>
      <c r="I1206">
        <v>89.6</v>
      </c>
      <c r="J1206" t="str">
        <f>HYPERLINK("https://climate.onebuilding.org/WMO_Region_4_North_and_Central_America/MEX_Mexico/OAX_Oaxaca/MEX_OAX_Puerto.Escondido.Intl.AP.768556_TMYx.2007-2021.zip")</f>
        <v>https://climate.onebuilding.org/WMO_Region_4_North_and_Central_America/MEX_Mexico/OAX_Oaxaca/MEX_OAX_Puerto.Escondido.Intl.AP.768556_TMYx.2007-2021.zip</v>
      </c>
    </row>
    <row r="1207" spans="1:10" x14ac:dyDescent="0.25">
      <c r="A1207" t="s">
        <v>399</v>
      </c>
      <c r="B1207" t="s">
        <v>673</v>
      </c>
      <c r="C1207" t="s">
        <v>710</v>
      </c>
      <c r="D1207">
        <v>768556</v>
      </c>
      <c r="E1207" t="s">
        <v>10</v>
      </c>
      <c r="F1207">
        <v>15.877000000000001</v>
      </c>
      <c r="G1207">
        <v>-97.088999999999999</v>
      </c>
      <c r="H1207">
        <v>-6</v>
      </c>
      <c r="I1207">
        <v>89.6</v>
      </c>
      <c r="J1207" t="str">
        <f>HYPERLINK("https://climate.onebuilding.org/WMO_Region_4_North_and_Central_America/MEX_Mexico/OAX_Oaxaca/MEX_OAX_Puerto.Escondido.Intl.AP.768556_TMYx.2009-2023.zip")</f>
        <v>https://climate.onebuilding.org/WMO_Region_4_North_and_Central_America/MEX_Mexico/OAX_Oaxaca/MEX_OAX_Puerto.Escondido.Intl.AP.768556_TMYx.2009-2023.zip</v>
      </c>
    </row>
    <row r="1208" spans="1:10" x14ac:dyDescent="0.25">
      <c r="A1208" t="s">
        <v>399</v>
      </c>
      <c r="B1208" t="s">
        <v>673</v>
      </c>
      <c r="C1208" t="s">
        <v>710</v>
      </c>
      <c r="D1208">
        <v>768556</v>
      </c>
      <c r="E1208" t="s">
        <v>10</v>
      </c>
      <c r="F1208">
        <v>15.877000000000001</v>
      </c>
      <c r="G1208">
        <v>-97.088999999999999</v>
      </c>
      <c r="H1208">
        <v>-6</v>
      </c>
      <c r="I1208">
        <v>89.6</v>
      </c>
      <c r="J1208" t="str">
        <f>HYPERLINK("https://climate.onebuilding.org/WMO_Region_4_North_and_Central_America/MEX_Mexico/OAX_Oaxaca/MEX_OAX_Puerto.Escondido.Intl.AP.768556_TMYx.zip")</f>
        <v>https://climate.onebuilding.org/WMO_Region_4_North_and_Central_America/MEX_Mexico/OAX_Oaxaca/MEX_OAX_Puerto.Escondido.Intl.AP.768556_TMYx.zip</v>
      </c>
    </row>
    <row r="1209" spans="1:10" x14ac:dyDescent="0.25">
      <c r="A1209" t="s">
        <v>399</v>
      </c>
      <c r="B1209" t="s">
        <v>416</v>
      </c>
      <c r="C1209" t="s">
        <v>712</v>
      </c>
      <c r="D1209">
        <v>769030</v>
      </c>
      <c r="E1209" t="s">
        <v>713</v>
      </c>
      <c r="F1209">
        <v>14.917</v>
      </c>
      <c r="G1209">
        <v>-92.25</v>
      </c>
      <c r="H1209">
        <v>-6</v>
      </c>
      <c r="I1209">
        <v>118</v>
      </c>
      <c r="J1209" t="str">
        <f>HYPERLINK("https://climate.onebuilding.org/WMO_Region_4_North_and_Central_America/MEX_Mexico/CHP_Chiapas/MEX_CHP_Tapachula.769030_TMYx.2004-2018.zip")</f>
        <v>https://climate.onebuilding.org/WMO_Region_4_North_and_Central_America/MEX_Mexico/CHP_Chiapas/MEX_CHP_Tapachula.769030_TMYx.2004-2018.zip</v>
      </c>
    </row>
    <row r="1210" spans="1:10" x14ac:dyDescent="0.25">
      <c r="A1210" t="s">
        <v>399</v>
      </c>
      <c r="B1210" t="s">
        <v>416</v>
      </c>
      <c r="C1210" t="s">
        <v>712</v>
      </c>
      <c r="D1210">
        <v>769030</v>
      </c>
      <c r="E1210" t="s">
        <v>10</v>
      </c>
      <c r="F1210">
        <v>14.8872</v>
      </c>
      <c r="G1210">
        <v>-92.296400000000006</v>
      </c>
      <c r="H1210">
        <v>-6</v>
      </c>
      <c r="I1210">
        <v>118</v>
      </c>
      <c r="J1210" t="str">
        <f>HYPERLINK("https://climate.onebuilding.org/WMO_Region_4_North_and_Central_America/MEX_Mexico/CHP_Chiapas/MEX_CHP_Tapachula.769030_TMYx.2007-2021.zip")</f>
        <v>https://climate.onebuilding.org/WMO_Region_4_North_and_Central_America/MEX_Mexico/CHP_Chiapas/MEX_CHP_Tapachula.769030_TMYx.2007-2021.zip</v>
      </c>
    </row>
    <row r="1211" spans="1:10" x14ac:dyDescent="0.25">
      <c r="A1211" t="s">
        <v>399</v>
      </c>
      <c r="B1211" t="s">
        <v>416</v>
      </c>
      <c r="C1211" t="s">
        <v>712</v>
      </c>
      <c r="D1211">
        <v>769030</v>
      </c>
      <c r="E1211" t="s">
        <v>10</v>
      </c>
      <c r="F1211">
        <v>14.8872</v>
      </c>
      <c r="G1211">
        <v>-92.296400000000006</v>
      </c>
      <c r="H1211">
        <v>-6</v>
      </c>
      <c r="I1211">
        <v>118</v>
      </c>
      <c r="J1211" t="str">
        <f>HYPERLINK("https://climate.onebuilding.org/WMO_Region_4_North_and_Central_America/MEX_Mexico/CHP_Chiapas/MEX_CHP_Tapachula.769030_TMYx.2009-2023.zip")</f>
        <v>https://climate.onebuilding.org/WMO_Region_4_North_and_Central_America/MEX_Mexico/CHP_Chiapas/MEX_CHP_Tapachula.769030_TMYx.2009-2023.zip</v>
      </c>
    </row>
    <row r="1212" spans="1:10" x14ac:dyDescent="0.25">
      <c r="A1212" t="s">
        <v>399</v>
      </c>
      <c r="B1212" t="s">
        <v>416</v>
      </c>
      <c r="C1212" t="s">
        <v>712</v>
      </c>
      <c r="D1212">
        <v>769030</v>
      </c>
      <c r="E1212" t="s">
        <v>10</v>
      </c>
      <c r="F1212">
        <v>14.8872</v>
      </c>
      <c r="G1212">
        <v>-92.296400000000006</v>
      </c>
      <c r="H1212">
        <v>-6</v>
      </c>
      <c r="I1212">
        <v>118</v>
      </c>
      <c r="J1212" t="str">
        <f>HYPERLINK("https://climate.onebuilding.org/WMO_Region_4_North_and_Central_America/MEX_Mexico/CHP_Chiapas/MEX_CHP_Tapachula.769030_TMYx.zip")</f>
        <v>https://climate.onebuilding.org/WMO_Region_4_North_and_Central_America/MEX_Mexico/CHP_Chiapas/MEX_CHP_Tapachula.769030_TMYx.zip</v>
      </c>
    </row>
    <row r="1213" spans="1:10" x14ac:dyDescent="0.25">
      <c r="A1213" t="s">
        <v>399</v>
      </c>
      <c r="B1213" t="s">
        <v>416</v>
      </c>
      <c r="C1213" t="s">
        <v>714</v>
      </c>
      <c r="D1213">
        <v>769043</v>
      </c>
      <c r="E1213" t="s">
        <v>715</v>
      </c>
      <c r="F1213">
        <v>14.794</v>
      </c>
      <c r="G1213">
        <v>-92.37</v>
      </c>
      <c r="H1213">
        <v>-6</v>
      </c>
      <c r="I1213">
        <v>29.6</v>
      </c>
      <c r="J1213" t="str">
        <f>HYPERLINK("https://climate.onebuilding.org/WMO_Region_4_North_and_Central_America/MEX_Mexico/CHP_Chiapas/MEX_CHP_Tapachula.Intl.AP.769043_TMYx.2004-2018.zip")</f>
        <v>https://climate.onebuilding.org/WMO_Region_4_North_and_Central_America/MEX_Mexico/CHP_Chiapas/MEX_CHP_Tapachula.Intl.AP.769043_TMYx.2004-2018.zip</v>
      </c>
    </row>
    <row r="1214" spans="1:10" x14ac:dyDescent="0.25">
      <c r="A1214" t="s">
        <v>399</v>
      </c>
      <c r="B1214" t="s">
        <v>416</v>
      </c>
      <c r="C1214" t="s">
        <v>714</v>
      </c>
      <c r="D1214">
        <v>769043</v>
      </c>
      <c r="E1214" t="s">
        <v>10</v>
      </c>
      <c r="F1214">
        <v>14.794</v>
      </c>
      <c r="G1214">
        <v>-92.37</v>
      </c>
      <c r="H1214">
        <v>-6</v>
      </c>
      <c r="I1214">
        <v>29.6</v>
      </c>
      <c r="J1214" t="str">
        <f>HYPERLINK("https://climate.onebuilding.org/WMO_Region_4_North_and_Central_America/MEX_Mexico/CHP_Chiapas/MEX_CHP_Tapachula.Intl.AP.769043_TMYx.2007-2021.zip")</f>
        <v>https://climate.onebuilding.org/WMO_Region_4_North_and_Central_America/MEX_Mexico/CHP_Chiapas/MEX_CHP_Tapachula.Intl.AP.769043_TMYx.2007-2021.zip</v>
      </c>
    </row>
    <row r="1215" spans="1:10" x14ac:dyDescent="0.25">
      <c r="A1215" t="s">
        <v>399</v>
      </c>
      <c r="B1215" t="s">
        <v>416</v>
      </c>
      <c r="C1215" t="s">
        <v>714</v>
      </c>
      <c r="D1215">
        <v>769043</v>
      </c>
      <c r="E1215" t="s">
        <v>10</v>
      </c>
      <c r="F1215">
        <v>14.794</v>
      </c>
      <c r="G1215">
        <v>-92.37</v>
      </c>
      <c r="H1215">
        <v>-6</v>
      </c>
      <c r="I1215">
        <v>29.6</v>
      </c>
      <c r="J1215" t="str">
        <f>HYPERLINK("https://climate.onebuilding.org/WMO_Region_4_North_and_Central_America/MEX_Mexico/CHP_Chiapas/MEX_CHP_Tapachula.Intl.AP.769043_TMYx.2009-2023.zip")</f>
        <v>https://climate.onebuilding.org/WMO_Region_4_North_and_Central_America/MEX_Mexico/CHP_Chiapas/MEX_CHP_Tapachula.Intl.AP.769043_TMYx.2009-2023.zip</v>
      </c>
    </row>
    <row r="1216" spans="1:10" x14ac:dyDescent="0.25">
      <c r="A1216" t="s">
        <v>399</v>
      </c>
      <c r="B1216" t="s">
        <v>416</v>
      </c>
      <c r="C1216" t="s">
        <v>714</v>
      </c>
      <c r="D1216">
        <v>769043</v>
      </c>
      <c r="E1216" t="s">
        <v>10</v>
      </c>
      <c r="F1216">
        <v>14.794</v>
      </c>
      <c r="G1216">
        <v>-92.37</v>
      </c>
      <c r="H1216">
        <v>-6</v>
      </c>
      <c r="I1216">
        <v>29.6</v>
      </c>
      <c r="J1216" t="str">
        <f>HYPERLINK("https://climate.onebuilding.org/WMO_Region_4_North_and_Central_America/MEX_Mexico/CHP_Chiapas/MEX_CHP_Tapachula.Intl.AP.769043_TMYx.zip")</f>
        <v>https://climate.onebuilding.org/WMO_Region_4_North_and_Central_America/MEX_Mexico/CHP_Chiapas/MEX_CHP_Tapachula.Intl.AP.769043_TMYx.zip</v>
      </c>
    </row>
    <row r="1217" spans="1:10" x14ac:dyDescent="0.25">
      <c r="A1217" t="s">
        <v>399</v>
      </c>
      <c r="B1217" t="s">
        <v>601</v>
      </c>
      <c r="C1217" t="s">
        <v>716</v>
      </c>
      <c r="D1217">
        <v>769995</v>
      </c>
      <c r="E1217" t="s">
        <v>18</v>
      </c>
      <c r="F1217">
        <v>18.001999999999999</v>
      </c>
      <c r="G1217">
        <v>-102.221</v>
      </c>
      <c r="H1217">
        <v>-6</v>
      </c>
      <c r="I1217">
        <v>11.9</v>
      </c>
      <c r="J1217" t="str">
        <f>HYPERLINK("https://climate.onebuilding.org/WMO_Region_4_North_and_Central_America/MEX_Mexico/MIC_Michoacan/MEX_MIC_Lazaro.Cardenas.769995_TMYx.2007-2021.zip")</f>
        <v>https://climate.onebuilding.org/WMO_Region_4_North_and_Central_America/MEX_Mexico/MIC_Michoacan/MEX_MIC_Lazaro.Cardenas.769995_TMYx.2007-2021.zip</v>
      </c>
    </row>
    <row r="1218" spans="1:10" x14ac:dyDescent="0.25">
      <c r="A1218" t="s">
        <v>399</v>
      </c>
      <c r="B1218" t="s">
        <v>601</v>
      </c>
      <c r="C1218" t="s">
        <v>716</v>
      </c>
      <c r="D1218">
        <v>769995</v>
      </c>
      <c r="E1218" t="s">
        <v>18</v>
      </c>
      <c r="F1218">
        <v>18.001999999999999</v>
      </c>
      <c r="G1218">
        <v>-102.221</v>
      </c>
      <c r="H1218">
        <v>-6</v>
      </c>
      <c r="I1218">
        <v>11.9</v>
      </c>
      <c r="J1218" t="str">
        <f>HYPERLINK("https://climate.onebuilding.org/WMO_Region_4_North_and_Central_America/MEX_Mexico/MIC_Michoacan/MEX_MIC_Lazaro.Cardenas.769995_TMYx.2009-2023.zip")</f>
        <v>https://climate.onebuilding.org/WMO_Region_4_North_and_Central_America/MEX_Mexico/MIC_Michoacan/MEX_MIC_Lazaro.Cardenas.769995_TMYx.2009-2023.zip</v>
      </c>
    </row>
    <row r="1219" spans="1:10" x14ac:dyDescent="0.25">
      <c r="A1219" t="s">
        <v>399</v>
      </c>
      <c r="B1219" t="s">
        <v>601</v>
      </c>
      <c r="C1219" t="s">
        <v>716</v>
      </c>
      <c r="D1219">
        <v>769995</v>
      </c>
      <c r="E1219" t="s">
        <v>18</v>
      </c>
      <c r="F1219">
        <v>18.001999999999999</v>
      </c>
      <c r="G1219">
        <v>-102.221</v>
      </c>
      <c r="H1219">
        <v>-6</v>
      </c>
      <c r="I1219">
        <v>11.9</v>
      </c>
      <c r="J1219" t="str">
        <f>HYPERLINK("https://climate.onebuilding.org/WMO_Region_4_North_and_Central_America/MEX_Mexico/MIC_Michoacan/MEX_MIC_Lazaro.Cardenas.769995_TMYx.zip")</f>
        <v>https://climate.onebuilding.org/WMO_Region_4_North_and_Central_America/MEX_Mexico/MIC_Michoacan/MEX_MIC_Lazaro.Cardenas.769995_TMYx.zip</v>
      </c>
    </row>
    <row r="1220" spans="1:10" x14ac:dyDescent="0.25">
      <c r="A1220" t="s">
        <v>399</v>
      </c>
      <c r="B1220" t="s">
        <v>399</v>
      </c>
      <c r="C1220" t="s">
        <v>717</v>
      </c>
      <c r="D1220">
        <v>769997</v>
      </c>
      <c r="E1220" t="s">
        <v>18</v>
      </c>
      <c r="F1220">
        <v>19.684000000000001</v>
      </c>
      <c r="G1220">
        <v>-99.775999999999996</v>
      </c>
      <c r="H1220">
        <v>-6</v>
      </c>
      <c r="I1220">
        <v>2580</v>
      </c>
      <c r="J1220" t="str">
        <f>HYPERLINK("https://climate.onebuilding.org/WMO_Region_4_North_and_Central_America/MEX_Mexico/MEX_Mexico/MEX_MEX_Pasteje.769997_TMYx.2007-2021.zip")</f>
        <v>https://climate.onebuilding.org/WMO_Region_4_North_and_Central_America/MEX_Mexico/MEX_Mexico/MEX_MEX_Pasteje.769997_TMYx.2007-2021.zip</v>
      </c>
    </row>
    <row r="1221" spans="1:10" x14ac:dyDescent="0.25">
      <c r="A1221" t="s">
        <v>399</v>
      </c>
      <c r="B1221" t="s">
        <v>399</v>
      </c>
      <c r="C1221" t="s">
        <v>717</v>
      </c>
      <c r="D1221">
        <v>769997</v>
      </c>
      <c r="E1221" t="s">
        <v>18</v>
      </c>
      <c r="F1221">
        <v>19.684000000000001</v>
      </c>
      <c r="G1221">
        <v>-99.775999999999996</v>
      </c>
      <c r="H1221">
        <v>-6</v>
      </c>
      <c r="I1221">
        <v>2580</v>
      </c>
      <c r="J1221" t="str">
        <f>HYPERLINK("https://climate.onebuilding.org/WMO_Region_4_North_and_Central_America/MEX_Mexico/MEX_Mexico/MEX_MEX_Pasteje.769997_TMYx.2009-2023.zip")</f>
        <v>https://climate.onebuilding.org/WMO_Region_4_North_and_Central_America/MEX_Mexico/MEX_Mexico/MEX_MEX_Pasteje.769997_TMYx.2009-2023.zip</v>
      </c>
    </row>
    <row r="1222" spans="1:10" x14ac:dyDescent="0.25">
      <c r="A1222" t="s">
        <v>399</v>
      </c>
      <c r="B1222" t="s">
        <v>399</v>
      </c>
      <c r="C1222" t="s">
        <v>717</v>
      </c>
      <c r="D1222">
        <v>769997</v>
      </c>
      <c r="E1222" t="s">
        <v>18</v>
      </c>
      <c r="F1222">
        <v>19.684000000000001</v>
      </c>
      <c r="G1222">
        <v>-99.775999999999996</v>
      </c>
      <c r="H1222">
        <v>-6</v>
      </c>
      <c r="I1222">
        <v>2580</v>
      </c>
      <c r="J1222" t="str">
        <f>HYPERLINK("https://climate.onebuilding.org/WMO_Region_4_North_and_Central_America/MEX_Mexico/MEX_Mexico/MEX_MEX_Pasteje.769997_TMYx.zip")</f>
        <v>https://climate.onebuilding.org/WMO_Region_4_North_and_Central_America/MEX_Mexico/MEX_Mexico/MEX_MEX_Pasteje.769997_TMYx.zip</v>
      </c>
    </row>
    <row r="1223" spans="1:10" x14ac:dyDescent="0.25">
      <c r="A1223" t="s">
        <v>399</v>
      </c>
      <c r="B1223" t="s">
        <v>560</v>
      </c>
      <c r="C1223" t="s">
        <v>718</v>
      </c>
      <c r="D1223">
        <v>997395</v>
      </c>
      <c r="E1223" t="s">
        <v>719</v>
      </c>
      <c r="F1223">
        <v>19.917999999999999</v>
      </c>
      <c r="G1223">
        <v>-84.938000000000002</v>
      </c>
      <c r="H1223">
        <v>-5</v>
      </c>
      <c r="I1223">
        <v>0</v>
      </c>
      <c r="J1223" t="str">
        <f>HYPERLINK("https://climate.onebuilding.org/WMO_Region_4_North_and_Central_America/MEX_Mexico/ROO_Quintana_Roo/MEX_ROO_Yucatan.Basin.Buoy.997395_TMYx.2004-2018.zip")</f>
        <v>https://climate.onebuilding.org/WMO_Region_4_North_and_Central_America/MEX_Mexico/ROO_Quintana_Roo/MEX_ROO_Yucatan.Basin.Buoy.997395_TMYx.2004-2018.zip</v>
      </c>
    </row>
    <row r="1224" spans="1:10" x14ac:dyDescent="0.25">
      <c r="A1224" t="s">
        <v>399</v>
      </c>
      <c r="B1224" t="s">
        <v>560</v>
      </c>
      <c r="C1224" t="s">
        <v>718</v>
      </c>
      <c r="D1224">
        <v>997395</v>
      </c>
      <c r="E1224" t="s">
        <v>719</v>
      </c>
      <c r="F1224">
        <v>19.917999999999999</v>
      </c>
      <c r="G1224">
        <v>-84.938000000000002</v>
      </c>
      <c r="H1224">
        <v>-5</v>
      </c>
      <c r="I1224">
        <v>0</v>
      </c>
      <c r="J1224" t="str">
        <f>HYPERLINK("https://climate.onebuilding.org/WMO_Region_4_North_and_Central_America/MEX_Mexico/ROO_Quintana_Roo/MEX_ROO_Yucatan.Basin.Buoy.997395_TMYx.zip")</f>
        <v>https://climate.onebuilding.org/WMO_Region_4_North_and_Central_America/MEX_Mexico/ROO_Quintana_Roo/MEX_ROO_Yucatan.Basin.Buoy.997395_TMYx.zip</v>
      </c>
    </row>
    <row r="1225" spans="1:10" x14ac:dyDescent="0.25">
      <c r="A1225" t="s">
        <v>399</v>
      </c>
      <c r="B1225" t="s">
        <v>553</v>
      </c>
      <c r="C1225" t="s">
        <v>720</v>
      </c>
      <c r="D1225">
        <v>998437</v>
      </c>
      <c r="E1225" t="s">
        <v>721</v>
      </c>
      <c r="F1225">
        <v>19.600000000000001</v>
      </c>
      <c r="G1225">
        <v>-96.382999999999996</v>
      </c>
      <c r="H1225">
        <v>-6</v>
      </c>
      <c r="I1225">
        <v>9.1</v>
      </c>
      <c r="J1225" t="str">
        <f>HYPERLINK("https://climate.onebuilding.org/WMO_Region_4_North_and_Central_America/MEX_Mexico/VER_Veracruz/MEX_VER_La.Mancha.Beach.998437_TMYx.2004-2018.zip")</f>
        <v>https://climate.onebuilding.org/WMO_Region_4_North_and_Central_America/MEX_Mexico/VER_Veracruz/MEX_VER_La.Mancha.Beach.998437_TMYx.2004-2018.zip</v>
      </c>
    </row>
    <row r="1226" spans="1:10" x14ac:dyDescent="0.25">
      <c r="A1226" t="s">
        <v>399</v>
      </c>
      <c r="B1226" t="s">
        <v>553</v>
      </c>
      <c r="C1226" t="s">
        <v>720</v>
      </c>
      <c r="D1226">
        <v>998437</v>
      </c>
      <c r="E1226" t="s">
        <v>721</v>
      </c>
      <c r="F1226">
        <v>19.600000000000001</v>
      </c>
      <c r="G1226">
        <v>-96.382999999999996</v>
      </c>
      <c r="H1226">
        <v>-6</v>
      </c>
      <c r="I1226">
        <v>9.1</v>
      </c>
      <c r="J1226" t="str">
        <f>HYPERLINK("https://climate.onebuilding.org/WMO_Region_4_North_and_Central_America/MEX_Mexico/VER_Veracruz/MEX_VER_La.Mancha.Beach.998437_TMYx.zip")</f>
        <v>https://climate.onebuilding.org/WMO_Region_4_North_and_Central_America/MEX_Mexico/VER_Veracruz/MEX_VER_La.Mancha.Beach.998437_TMYx.zip</v>
      </c>
    </row>
    <row r="1227" spans="1:10" x14ac:dyDescent="0.25">
      <c r="A1227" t="s">
        <v>722</v>
      </c>
      <c r="B1227" t="s">
        <v>87</v>
      </c>
      <c r="C1227" t="s">
        <v>723</v>
      </c>
      <c r="D1227">
        <v>788564</v>
      </c>
      <c r="E1227" t="s">
        <v>10</v>
      </c>
      <c r="F1227">
        <v>16.75</v>
      </c>
      <c r="G1227">
        <v>-62.167000000000002</v>
      </c>
      <c r="H1227">
        <v>-4</v>
      </c>
      <c r="I1227">
        <v>12</v>
      </c>
      <c r="J1227" t="str">
        <f>HYPERLINK("https://climate.onebuilding.org/WMO_Region_4_North_and_Central_America/MSR_Montserrat/MSR_SA_Blackburne-Plymouth.788564_TMYx.zip")</f>
        <v>https://climate.onebuilding.org/WMO_Region_4_North_and_Central_America/MSR_Montserrat/MSR_SA_Blackburne-Plymouth.788564_TMYx.zip</v>
      </c>
    </row>
    <row r="1228" spans="1:10" x14ac:dyDescent="0.25">
      <c r="A1228" t="s">
        <v>722</v>
      </c>
      <c r="B1228" t="s">
        <v>724</v>
      </c>
      <c r="C1228" t="s">
        <v>725</v>
      </c>
      <c r="D1228">
        <v>788625</v>
      </c>
      <c r="E1228" t="s">
        <v>10</v>
      </c>
      <c r="F1228">
        <v>16.783000000000001</v>
      </c>
      <c r="G1228">
        <v>-62.192999999999998</v>
      </c>
      <c r="H1228">
        <v>-4</v>
      </c>
      <c r="I1228">
        <v>168</v>
      </c>
      <c r="J1228" t="str">
        <f>HYPERLINK("https://climate.onebuilding.org/WMO_Region_4_North_and_Central_America/MSR_Montserrat/MSR_SP_Geralds-Osborne.AP.788625_TMYx.2007-2021.zip")</f>
        <v>https://climate.onebuilding.org/WMO_Region_4_North_and_Central_America/MSR_Montserrat/MSR_SP_Geralds-Osborne.AP.788625_TMYx.2007-2021.zip</v>
      </c>
    </row>
    <row r="1229" spans="1:10" x14ac:dyDescent="0.25">
      <c r="A1229" t="s">
        <v>722</v>
      </c>
      <c r="B1229" t="s">
        <v>724</v>
      </c>
      <c r="C1229" t="s">
        <v>725</v>
      </c>
      <c r="D1229">
        <v>788625</v>
      </c>
      <c r="E1229" t="s">
        <v>10</v>
      </c>
      <c r="F1229">
        <v>16.783000000000001</v>
      </c>
      <c r="G1229">
        <v>-62.192999999999998</v>
      </c>
      <c r="H1229">
        <v>-4</v>
      </c>
      <c r="I1229">
        <v>168</v>
      </c>
      <c r="J1229" t="str">
        <f>HYPERLINK("https://climate.onebuilding.org/WMO_Region_4_North_and_Central_America/MSR_Montserrat/MSR_SP_Geralds-Osborne.AP.788625_TMYx.2009-2023.zip")</f>
        <v>https://climate.onebuilding.org/WMO_Region_4_North_and_Central_America/MSR_Montserrat/MSR_SP_Geralds-Osborne.AP.788625_TMYx.2009-2023.zip</v>
      </c>
    </row>
    <row r="1230" spans="1:10" x14ac:dyDescent="0.25">
      <c r="A1230" t="s">
        <v>722</v>
      </c>
      <c r="B1230" t="s">
        <v>724</v>
      </c>
      <c r="C1230" t="s">
        <v>725</v>
      </c>
      <c r="D1230">
        <v>788625</v>
      </c>
      <c r="E1230" t="s">
        <v>10</v>
      </c>
      <c r="F1230">
        <v>16.783000000000001</v>
      </c>
      <c r="G1230">
        <v>-62.192999999999998</v>
      </c>
      <c r="H1230">
        <v>-4</v>
      </c>
      <c r="I1230">
        <v>168</v>
      </c>
      <c r="J1230" t="str">
        <f>HYPERLINK("https://climate.onebuilding.org/WMO_Region_4_North_and_Central_America/MSR_Montserrat/MSR_SP_Geralds-Osborne.AP.788625_TMYx.zip")</f>
        <v>https://climate.onebuilding.org/WMO_Region_4_North_and_Central_America/MSR_Montserrat/MSR_SP_Geralds-Osborne.AP.788625_TMYx.zip</v>
      </c>
    </row>
    <row r="1231" spans="1:10" x14ac:dyDescent="0.25">
      <c r="A1231" t="s">
        <v>726</v>
      </c>
      <c r="B1231" t="s">
        <v>727</v>
      </c>
      <c r="C1231" t="s">
        <v>728</v>
      </c>
      <c r="D1231">
        <v>789220</v>
      </c>
      <c r="E1231" t="s">
        <v>729</v>
      </c>
      <c r="F1231">
        <v>14.766999999999999</v>
      </c>
      <c r="G1231">
        <v>-60.883000000000003</v>
      </c>
      <c r="H1231">
        <v>-4</v>
      </c>
      <c r="I1231">
        <v>34</v>
      </c>
      <c r="J1231" t="str">
        <f>HYPERLINK("https://climate.onebuilding.org/WMO_Region_4_North_and_Central_America/MTQ_Martinique/MTQ_TR_Trinite-Caravelle.789220_TMYx.2004-2018.zip")</f>
        <v>https://climate.onebuilding.org/WMO_Region_4_North_and_Central_America/MTQ_Martinique/MTQ_TR_Trinite-Caravelle.789220_TMYx.2004-2018.zip</v>
      </c>
    </row>
    <row r="1232" spans="1:10" x14ac:dyDescent="0.25">
      <c r="A1232" t="s">
        <v>726</v>
      </c>
      <c r="B1232" t="s">
        <v>727</v>
      </c>
      <c r="C1232" t="s">
        <v>728</v>
      </c>
      <c r="D1232">
        <v>789220</v>
      </c>
      <c r="E1232" t="s">
        <v>10</v>
      </c>
      <c r="F1232">
        <v>14.766999999999999</v>
      </c>
      <c r="G1232">
        <v>-60.883000000000003</v>
      </c>
      <c r="H1232">
        <v>-4</v>
      </c>
      <c r="I1232">
        <v>34</v>
      </c>
      <c r="J1232" t="str">
        <f>HYPERLINK("https://climate.onebuilding.org/WMO_Region_4_North_and_Central_America/MTQ_Martinique/MTQ_TR_Trinite-Caravelle.789220_TMYx.2007-2021.zip")</f>
        <v>https://climate.onebuilding.org/WMO_Region_4_North_and_Central_America/MTQ_Martinique/MTQ_TR_Trinite-Caravelle.789220_TMYx.2007-2021.zip</v>
      </c>
    </row>
    <row r="1233" spans="1:10" x14ac:dyDescent="0.25">
      <c r="A1233" t="s">
        <v>726</v>
      </c>
      <c r="B1233" t="s">
        <v>727</v>
      </c>
      <c r="C1233" t="s">
        <v>728</v>
      </c>
      <c r="D1233">
        <v>789220</v>
      </c>
      <c r="E1233" t="s">
        <v>10</v>
      </c>
      <c r="F1233">
        <v>14.766999999999999</v>
      </c>
      <c r="G1233">
        <v>-60.883000000000003</v>
      </c>
      <c r="H1233">
        <v>-4</v>
      </c>
      <c r="I1233">
        <v>34</v>
      </c>
      <c r="J1233" t="str">
        <f>HYPERLINK("https://climate.onebuilding.org/WMO_Region_4_North_and_Central_America/MTQ_Martinique/MTQ_TR_Trinite-Caravelle.789220_TMYx.2009-2023.zip")</f>
        <v>https://climate.onebuilding.org/WMO_Region_4_North_and_Central_America/MTQ_Martinique/MTQ_TR_Trinite-Caravelle.789220_TMYx.2009-2023.zip</v>
      </c>
    </row>
    <row r="1234" spans="1:10" x14ac:dyDescent="0.25">
      <c r="A1234" t="s">
        <v>726</v>
      </c>
      <c r="B1234" t="s">
        <v>727</v>
      </c>
      <c r="C1234" t="s">
        <v>728</v>
      </c>
      <c r="D1234">
        <v>789220</v>
      </c>
      <c r="E1234" t="s">
        <v>10</v>
      </c>
      <c r="F1234">
        <v>14.766999999999999</v>
      </c>
      <c r="G1234">
        <v>-60.883000000000003</v>
      </c>
      <c r="H1234">
        <v>-4</v>
      </c>
      <c r="I1234">
        <v>34</v>
      </c>
      <c r="J1234" t="str">
        <f>HYPERLINK("https://climate.onebuilding.org/WMO_Region_4_North_and_Central_America/MTQ_Martinique/MTQ_TR_Trinite-Caravelle.789220_TMYx.zip")</f>
        <v>https://climate.onebuilding.org/WMO_Region_4_North_and_Central_America/MTQ_Martinique/MTQ_TR_Trinite-Caravelle.789220_TMYx.zip</v>
      </c>
    </row>
    <row r="1235" spans="1:10" x14ac:dyDescent="0.25">
      <c r="A1235" t="s">
        <v>726</v>
      </c>
      <c r="B1235" t="s">
        <v>125</v>
      </c>
      <c r="C1235" t="s">
        <v>730</v>
      </c>
      <c r="D1235">
        <v>789240</v>
      </c>
      <c r="E1235" t="s">
        <v>18</v>
      </c>
      <c r="F1235">
        <v>14.5</v>
      </c>
      <c r="G1235">
        <v>-61.017000000000003</v>
      </c>
      <c r="H1235">
        <v>-4</v>
      </c>
      <c r="I1235">
        <v>377</v>
      </c>
      <c r="J1235" t="str">
        <f>HYPERLINK("https://climate.onebuilding.org/WMO_Region_4_North_and_Central_America/MTQ_Martinique/MTQ_MA_Le.Diamant.789240_TMYx.2007-2021.zip")</f>
        <v>https://climate.onebuilding.org/WMO_Region_4_North_and_Central_America/MTQ_Martinique/MTQ_MA_Le.Diamant.789240_TMYx.2007-2021.zip</v>
      </c>
    </row>
    <row r="1236" spans="1:10" x14ac:dyDescent="0.25">
      <c r="A1236" t="s">
        <v>726</v>
      </c>
      <c r="B1236" t="s">
        <v>125</v>
      </c>
      <c r="C1236" t="s">
        <v>730</v>
      </c>
      <c r="D1236">
        <v>789240</v>
      </c>
      <c r="E1236" t="s">
        <v>18</v>
      </c>
      <c r="F1236">
        <v>14.5</v>
      </c>
      <c r="G1236">
        <v>-61.017000000000003</v>
      </c>
      <c r="H1236">
        <v>-4</v>
      </c>
      <c r="I1236">
        <v>377</v>
      </c>
      <c r="J1236" t="str">
        <f>HYPERLINK("https://climate.onebuilding.org/WMO_Region_4_North_and_Central_America/MTQ_Martinique/MTQ_MA_Le.Diamant.789240_TMYx.2009-2023.zip")</f>
        <v>https://climate.onebuilding.org/WMO_Region_4_North_and_Central_America/MTQ_Martinique/MTQ_MA_Le.Diamant.789240_TMYx.2009-2023.zip</v>
      </c>
    </row>
    <row r="1237" spans="1:10" x14ac:dyDescent="0.25">
      <c r="A1237" t="s">
        <v>726</v>
      </c>
      <c r="B1237" t="s">
        <v>125</v>
      </c>
      <c r="C1237" t="s">
        <v>730</v>
      </c>
      <c r="D1237">
        <v>789240</v>
      </c>
      <c r="E1237" t="s">
        <v>18</v>
      </c>
      <c r="F1237">
        <v>14.5</v>
      </c>
      <c r="G1237">
        <v>-61.017000000000003</v>
      </c>
      <c r="H1237">
        <v>-4</v>
      </c>
      <c r="I1237">
        <v>377</v>
      </c>
      <c r="J1237" t="str">
        <f>HYPERLINK("https://climate.onebuilding.org/WMO_Region_4_North_and_Central_America/MTQ_Martinique/MTQ_MA_Le.Diamant.789240_TMYx.zip")</f>
        <v>https://climate.onebuilding.org/WMO_Region_4_North_and_Central_America/MTQ_Martinique/MTQ_MA_Le.Diamant.789240_TMYx.zip</v>
      </c>
    </row>
    <row r="1238" spans="1:10" x14ac:dyDescent="0.25">
      <c r="A1238" t="s">
        <v>726</v>
      </c>
      <c r="B1238" t="s">
        <v>731</v>
      </c>
      <c r="C1238" t="s">
        <v>732</v>
      </c>
      <c r="D1238">
        <v>789250</v>
      </c>
      <c r="E1238" t="s">
        <v>733</v>
      </c>
      <c r="F1238">
        <v>14.590999999999999</v>
      </c>
      <c r="G1238">
        <v>-61.003</v>
      </c>
      <c r="H1238">
        <v>-4</v>
      </c>
      <c r="I1238">
        <v>4.9000000000000004</v>
      </c>
      <c r="J1238" t="str">
        <f>HYPERLINK("https://climate.onebuilding.org/WMO_Region_4_North_and_Central_America/MTQ_Martinique/MTQ_FF_Martinique-Cesaire.Intl.AP.789250_TMYx.2004-2018.zip")</f>
        <v>https://climate.onebuilding.org/WMO_Region_4_North_and_Central_America/MTQ_Martinique/MTQ_FF_Martinique-Cesaire.Intl.AP.789250_TMYx.2004-2018.zip</v>
      </c>
    </row>
    <row r="1239" spans="1:10" x14ac:dyDescent="0.25">
      <c r="A1239" t="s">
        <v>726</v>
      </c>
      <c r="B1239" t="s">
        <v>731</v>
      </c>
      <c r="C1239" t="s">
        <v>732</v>
      </c>
      <c r="D1239">
        <v>789250</v>
      </c>
      <c r="E1239" t="s">
        <v>10</v>
      </c>
      <c r="F1239">
        <v>14.595000000000001</v>
      </c>
      <c r="G1239">
        <v>-60.996000000000002</v>
      </c>
      <c r="H1239">
        <v>-4</v>
      </c>
      <c r="I1239">
        <v>4.9000000000000004</v>
      </c>
      <c r="J1239" t="str">
        <f>HYPERLINK("https://climate.onebuilding.org/WMO_Region_4_North_and_Central_America/MTQ_Martinique/MTQ_FF_Martinique-Cesaire.Intl.AP.789250_TMYx.2007-2021.zip")</f>
        <v>https://climate.onebuilding.org/WMO_Region_4_North_and_Central_America/MTQ_Martinique/MTQ_FF_Martinique-Cesaire.Intl.AP.789250_TMYx.2007-2021.zip</v>
      </c>
    </row>
    <row r="1240" spans="1:10" x14ac:dyDescent="0.25">
      <c r="A1240" t="s">
        <v>726</v>
      </c>
      <c r="B1240" t="s">
        <v>731</v>
      </c>
      <c r="C1240" t="s">
        <v>732</v>
      </c>
      <c r="D1240">
        <v>789250</v>
      </c>
      <c r="E1240" t="s">
        <v>10</v>
      </c>
      <c r="F1240">
        <v>14.595000000000001</v>
      </c>
      <c r="G1240">
        <v>-60.996000000000002</v>
      </c>
      <c r="H1240">
        <v>-4</v>
      </c>
      <c r="I1240">
        <v>4.9000000000000004</v>
      </c>
      <c r="J1240" t="str">
        <f>HYPERLINK("https://climate.onebuilding.org/WMO_Region_4_North_and_Central_America/MTQ_Martinique/MTQ_FF_Martinique-Cesaire.Intl.AP.789250_TMYx.2009-2023.zip")</f>
        <v>https://climate.onebuilding.org/WMO_Region_4_North_and_Central_America/MTQ_Martinique/MTQ_FF_Martinique-Cesaire.Intl.AP.789250_TMYx.2009-2023.zip</v>
      </c>
    </row>
    <row r="1241" spans="1:10" x14ac:dyDescent="0.25">
      <c r="A1241" t="s">
        <v>726</v>
      </c>
      <c r="B1241" t="s">
        <v>731</v>
      </c>
      <c r="C1241" t="s">
        <v>732</v>
      </c>
      <c r="D1241">
        <v>789250</v>
      </c>
      <c r="E1241" t="s">
        <v>10</v>
      </c>
      <c r="F1241">
        <v>14.595000000000001</v>
      </c>
      <c r="G1241">
        <v>-60.996000000000002</v>
      </c>
      <c r="H1241">
        <v>-4</v>
      </c>
      <c r="I1241">
        <v>4.9000000000000004</v>
      </c>
      <c r="J1241" t="str">
        <f>HYPERLINK("https://climate.onebuilding.org/WMO_Region_4_North_and_Central_America/MTQ_Martinique/MTQ_FF_Martinique-Cesaire.Intl.AP.789250_TMYx.zip")</f>
        <v>https://climate.onebuilding.org/WMO_Region_4_North_and_Central_America/MTQ_Martinique/MTQ_FF_Martinique-Cesaire.Intl.AP.789250_TMYx.zip</v>
      </c>
    </row>
    <row r="1242" spans="1:10" x14ac:dyDescent="0.25">
      <c r="A1242" t="s">
        <v>734</v>
      </c>
      <c r="B1242" t="s">
        <v>277</v>
      </c>
      <c r="C1242" t="s">
        <v>735</v>
      </c>
      <c r="D1242">
        <v>787300</v>
      </c>
      <c r="E1242" t="s">
        <v>736</v>
      </c>
      <c r="F1242">
        <v>14.047000000000001</v>
      </c>
      <c r="G1242">
        <v>-83.387</v>
      </c>
      <c r="H1242">
        <v>-6</v>
      </c>
      <c r="I1242">
        <v>15.8</v>
      </c>
      <c r="J1242" t="str">
        <f>HYPERLINK("https://climate.onebuilding.org/WMO_Region_4_North_and_Central_America/NIC_Nicaragua/AN_Atlantico_Norte/NIC_AN_Puerto.Cabezas-Bilwi.AP.787300_TMYx.2004-2018.zip")</f>
        <v>https://climate.onebuilding.org/WMO_Region_4_North_and_Central_America/NIC_Nicaragua/AN_Atlantico_Norte/NIC_AN_Puerto.Cabezas-Bilwi.AP.787300_TMYx.2004-2018.zip</v>
      </c>
    </row>
    <row r="1243" spans="1:10" x14ac:dyDescent="0.25">
      <c r="A1243" t="s">
        <v>734</v>
      </c>
      <c r="B1243" t="s">
        <v>277</v>
      </c>
      <c r="C1243" t="s">
        <v>735</v>
      </c>
      <c r="D1243">
        <v>787300</v>
      </c>
      <c r="E1243" t="s">
        <v>10</v>
      </c>
      <c r="F1243">
        <v>14.047000000000001</v>
      </c>
      <c r="G1243">
        <v>-83.387</v>
      </c>
      <c r="H1243">
        <v>-6</v>
      </c>
      <c r="I1243">
        <v>15.8</v>
      </c>
      <c r="J1243" t="str">
        <f>HYPERLINK("https://climate.onebuilding.org/WMO_Region_4_North_and_Central_America/NIC_Nicaragua/AN_Atlantico_Norte/NIC_AN_Puerto.Cabezas-Bilwi.AP.787300_TMYx.2007-2021.zip")</f>
        <v>https://climate.onebuilding.org/WMO_Region_4_North_and_Central_America/NIC_Nicaragua/AN_Atlantico_Norte/NIC_AN_Puerto.Cabezas-Bilwi.AP.787300_TMYx.2007-2021.zip</v>
      </c>
    </row>
    <row r="1244" spans="1:10" x14ac:dyDescent="0.25">
      <c r="A1244" t="s">
        <v>734</v>
      </c>
      <c r="B1244" t="s">
        <v>277</v>
      </c>
      <c r="C1244" t="s">
        <v>735</v>
      </c>
      <c r="D1244">
        <v>787300</v>
      </c>
      <c r="E1244" t="s">
        <v>10</v>
      </c>
      <c r="F1244">
        <v>14.047000000000001</v>
      </c>
      <c r="G1244">
        <v>-83.387</v>
      </c>
      <c r="H1244">
        <v>-6</v>
      </c>
      <c r="I1244">
        <v>15.8</v>
      </c>
      <c r="J1244" t="str">
        <f>HYPERLINK("https://climate.onebuilding.org/WMO_Region_4_North_and_Central_America/NIC_Nicaragua/AN_Atlantico_Norte/NIC_AN_Puerto.Cabezas-Bilwi.AP.787300_TMYx.2009-2023.zip")</f>
        <v>https://climate.onebuilding.org/WMO_Region_4_North_and_Central_America/NIC_Nicaragua/AN_Atlantico_Norte/NIC_AN_Puerto.Cabezas-Bilwi.AP.787300_TMYx.2009-2023.zip</v>
      </c>
    </row>
    <row r="1245" spans="1:10" x14ac:dyDescent="0.25">
      <c r="A1245" t="s">
        <v>734</v>
      </c>
      <c r="B1245" t="s">
        <v>277</v>
      </c>
      <c r="C1245" t="s">
        <v>735</v>
      </c>
      <c r="D1245">
        <v>787300</v>
      </c>
      <c r="E1245" t="s">
        <v>10</v>
      </c>
      <c r="F1245">
        <v>14.047000000000001</v>
      </c>
      <c r="G1245">
        <v>-83.387</v>
      </c>
      <c r="H1245">
        <v>-6</v>
      </c>
      <c r="I1245">
        <v>15.8</v>
      </c>
      <c r="J1245" t="str">
        <f>HYPERLINK("https://climate.onebuilding.org/WMO_Region_4_North_and_Central_America/NIC_Nicaragua/AN_Atlantico_Norte/NIC_AN_Puerto.Cabezas-Bilwi.AP.787300_TMYx.zip")</f>
        <v>https://climate.onebuilding.org/WMO_Region_4_North_and_Central_America/NIC_Nicaragua/AN_Atlantico_Norte/NIC_AN_Puerto.Cabezas-Bilwi.AP.787300_TMYx.zip</v>
      </c>
    </row>
    <row r="1246" spans="1:10" x14ac:dyDescent="0.25">
      <c r="A1246" t="s">
        <v>734</v>
      </c>
      <c r="B1246" t="s">
        <v>199</v>
      </c>
      <c r="C1246" t="s">
        <v>737</v>
      </c>
      <c r="D1246">
        <v>787310</v>
      </c>
      <c r="E1246" t="s">
        <v>18</v>
      </c>
      <c r="F1246">
        <v>11.75915</v>
      </c>
      <c r="G1246">
        <v>-86.051670000000001</v>
      </c>
      <c r="H1246">
        <v>-6</v>
      </c>
      <c r="I1246">
        <v>163</v>
      </c>
      <c r="J1246" t="str">
        <f>HYPERLINK("https://climate.onebuilding.org/WMO_Region_4_North_and_Central_America/NIC_Nicaragua/GR_Granada/NIC_GR_Nandaime.787310_TMYx.2007-2021.zip")</f>
        <v>https://climate.onebuilding.org/WMO_Region_4_North_and_Central_America/NIC_Nicaragua/GR_Granada/NIC_GR_Nandaime.787310_TMYx.2007-2021.zip</v>
      </c>
    </row>
    <row r="1247" spans="1:10" x14ac:dyDescent="0.25">
      <c r="A1247" t="s">
        <v>734</v>
      </c>
      <c r="B1247" t="s">
        <v>199</v>
      </c>
      <c r="C1247" t="s">
        <v>737</v>
      </c>
      <c r="D1247">
        <v>787310</v>
      </c>
      <c r="E1247" t="s">
        <v>18</v>
      </c>
      <c r="F1247">
        <v>11.75915</v>
      </c>
      <c r="G1247">
        <v>-86.051670000000001</v>
      </c>
      <c r="H1247">
        <v>-6</v>
      </c>
      <c r="I1247">
        <v>163</v>
      </c>
      <c r="J1247" t="str">
        <f>HYPERLINK("https://climate.onebuilding.org/WMO_Region_4_North_and_Central_America/NIC_Nicaragua/GR_Granada/NIC_GR_Nandaime.787310_TMYx.2009-2023.zip")</f>
        <v>https://climate.onebuilding.org/WMO_Region_4_North_and_Central_America/NIC_Nicaragua/GR_Granada/NIC_GR_Nandaime.787310_TMYx.2009-2023.zip</v>
      </c>
    </row>
    <row r="1248" spans="1:10" x14ac:dyDescent="0.25">
      <c r="A1248" t="s">
        <v>734</v>
      </c>
      <c r="B1248" t="s">
        <v>199</v>
      </c>
      <c r="C1248" t="s">
        <v>737</v>
      </c>
      <c r="D1248">
        <v>787310</v>
      </c>
      <c r="E1248" t="s">
        <v>18</v>
      </c>
      <c r="F1248">
        <v>11.75915</v>
      </c>
      <c r="G1248">
        <v>-86.051670000000001</v>
      </c>
      <c r="H1248">
        <v>-6</v>
      </c>
      <c r="I1248">
        <v>163</v>
      </c>
      <c r="J1248" t="str">
        <f>HYPERLINK("https://climate.onebuilding.org/WMO_Region_4_North_and_Central_America/NIC_Nicaragua/GR_Granada/NIC_GR_Nandaime.787310_TMYx.zip")</f>
        <v>https://climate.onebuilding.org/WMO_Region_4_North_and_Central_America/NIC_Nicaragua/GR_Granada/NIC_GR_Nandaime.787310_TMYx.zip</v>
      </c>
    </row>
    <row r="1249" spans="1:10" x14ac:dyDescent="0.25">
      <c r="A1249" t="s">
        <v>734</v>
      </c>
      <c r="B1249" t="s">
        <v>738</v>
      </c>
      <c r="C1249" t="s">
        <v>739</v>
      </c>
      <c r="D1249">
        <v>787320</v>
      </c>
      <c r="E1249" t="s">
        <v>18</v>
      </c>
      <c r="F1249">
        <v>11.91611</v>
      </c>
      <c r="G1249">
        <v>-86.150130000000004</v>
      </c>
      <c r="H1249">
        <v>-6</v>
      </c>
      <c r="I1249">
        <v>435</v>
      </c>
      <c r="J1249" t="str">
        <f>HYPERLINK("https://climate.onebuilding.org/WMO_Region_4_North_and_Central_America/NIC_Nicaragua/MS_Masaya/NIC_MS_Masatepe.787320_TMYx.2007-2021.zip")</f>
        <v>https://climate.onebuilding.org/WMO_Region_4_North_and_Central_America/NIC_Nicaragua/MS_Masaya/NIC_MS_Masatepe.787320_TMYx.2007-2021.zip</v>
      </c>
    </row>
    <row r="1250" spans="1:10" x14ac:dyDescent="0.25">
      <c r="A1250" t="s">
        <v>734</v>
      </c>
      <c r="B1250" t="s">
        <v>738</v>
      </c>
      <c r="C1250" t="s">
        <v>739</v>
      </c>
      <c r="D1250">
        <v>787320</v>
      </c>
      <c r="E1250" t="s">
        <v>18</v>
      </c>
      <c r="F1250">
        <v>11.91611</v>
      </c>
      <c r="G1250">
        <v>-86.150130000000004</v>
      </c>
      <c r="H1250">
        <v>-6</v>
      </c>
      <c r="I1250">
        <v>435</v>
      </c>
      <c r="J1250" t="str">
        <f>HYPERLINK("https://climate.onebuilding.org/WMO_Region_4_North_and_Central_America/NIC_Nicaragua/MS_Masaya/NIC_MS_Masatepe.787320_TMYx.2009-2023.zip")</f>
        <v>https://climate.onebuilding.org/WMO_Region_4_North_and_Central_America/NIC_Nicaragua/MS_Masaya/NIC_MS_Masatepe.787320_TMYx.2009-2023.zip</v>
      </c>
    </row>
    <row r="1251" spans="1:10" x14ac:dyDescent="0.25">
      <c r="A1251" t="s">
        <v>734</v>
      </c>
      <c r="B1251" t="s">
        <v>738</v>
      </c>
      <c r="C1251" t="s">
        <v>739</v>
      </c>
      <c r="D1251">
        <v>787320</v>
      </c>
      <c r="E1251" t="s">
        <v>18</v>
      </c>
      <c r="F1251">
        <v>11.91611</v>
      </c>
      <c r="G1251">
        <v>-86.150130000000004</v>
      </c>
      <c r="H1251">
        <v>-6</v>
      </c>
      <c r="I1251">
        <v>435</v>
      </c>
      <c r="J1251" t="str">
        <f>HYPERLINK("https://climate.onebuilding.org/WMO_Region_4_North_and_Central_America/NIC_Nicaragua/MS_Masaya/NIC_MS_Masatepe.787320_TMYx.zip")</f>
        <v>https://climate.onebuilding.org/WMO_Region_4_North_and_Central_America/NIC_Nicaragua/MS_Masaya/NIC_MS_Masatepe.787320_TMYx.zip</v>
      </c>
    </row>
    <row r="1252" spans="1:10" x14ac:dyDescent="0.25">
      <c r="A1252" t="s">
        <v>734</v>
      </c>
      <c r="B1252" t="s">
        <v>67</v>
      </c>
      <c r="C1252" t="s">
        <v>740</v>
      </c>
      <c r="D1252">
        <v>787330</v>
      </c>
      <c r="E1252" t="s">
        <v>741</v>
      </c>
      <c r="F1252">
        <v>11.439399999999999</v>
      </c>
      <c r="G1252">
        <v>-85.826700000000002</v>
      </c>
      <c r="H1252">
        <v>-6</v>
      </c>
      <c r="I1252">
        <v>77</v>
      </c>
      <c r="J1252" t="str">
        <f>HYPERLINK("https://climate.onebuilding.org/WMO_Region_4_North_and_Central_America/NIC_Nicaragua/RI_Rivas/NIC_RI_Rivas.787330_TMYx.2004-2018.zip")</f>
        <v>https://climate.onebuilding.org/WMO_Region_4_North_and_Central_America/NIC_Nicaragua/RI_Rivas/NIC_RI_Rivas.787330_TMYx.2004-2018.zip</v>
      </c>
    </row>
    <row r="1253" spans="1:10" x14ac:dyDescent="0.25">
      <c r="A1253" t="s">
        <v>734</v>
      </c>
      <c r="B1253" t="s">
        <v>67</v>
      </c>
      <c r="C1253" t="s">
        <v>740</v>
      </c>
      <c r="D1253">
        <v>787330</v>
      </c>
      <c r="E1253" t="s">
        <v>10</v>
      </c>
      <c r="F1253">
        <v>11.439439999999999</v>
      </c>
      <c r="G1253">
        <v>-85.826650000000001</v>
      </c>
      <c r="H1253">
        <v>-6</v>
      </c>
      <c r="I1253">
        <v>77</v>
      </c>
      <c r="J1253" t="str">
        <f>HYPERLINK("https://climate.onebuilding.org/WMO_Region_4_North_and_Central_America/NIC_Nicaragua/RI_Rivas/NIC_RI_Rivas.787330_TMYx.2007-2021.zip")</f>
        <v>https://climate.onebuilding.org/WMO_Region_4_North_and_Central_America/NIC_Nicaragua/RI_Rivas/NIC_RI_Rivas.787330_TMYx.2007-2021.zip</v>
      </c>
    </row>
    <row r="1254" spans="1:10" x14ac:dyDescent="0.25">
      <c r="A1254" t="s">
        <v>734</v>
      </c>
      <c r="B1254" t="s">
        <v>67</v>
      </c>
      <c r="C1254" t="s">
        <v>740</v>
      </c>
      <c r="D1254">
        <v>787330</v>
      </c>
      <c r="E1254" t="s">
        <v>10</v>
      </c>
      <c r="F1254">
        <v>11.439439999999999</v>
      </c>
      <c r="G1254">
        <v>-85.826650000000001</v>
      </c>
      <c r="H1254">
        <v>-6</v>
      </c>
      <c r="I1254">
        <v>77</v>
      </c>
      <c r="J1254" t="str">
        <f>HYPERLINK("https://climate.onebuilding.org/WMO_Region_4_North_and_Central_America/NIC_Nicaragua/RI_Rivas/NIC_RI_Rivas.787330_TMYx.2009-2023.zip")</f>
        <v>https://climate.onebuilding.org/WMO_Region_4_North_and_Central_America/NIC_Nicaragua/RI_Rivas/NIC_RI_Rivas.787330_TMYx.2009-2023.zip</v>
      </c>
    </row>
    <row r="1255" spans="1:10" x14ac:dyDescent="0.25">
      <c r="A1255" t="s">
        <v>734</v>
      </c>
      <c r="B1255" t="s">
        <v>67</v>
      </c>
      <c r="C1255" t="s">
        <v>740</v>
      </c>
      <c r="D1255">
        <v>787330</v>
      </c>
      <c r="E1255" t="s">
        <v>10</v>
      </c>
      <c r="F1255">
        <v>11.439439999999999</v>
      </c>
      <c r="G1255">
        <v>-85.826650000000001</v>
      </c>
      <c r="H1255">
        <v>-6</v>
      </c>
      <c r="I1255">
        <v>77</v>
      </c>
      <c r="J1255" t="str">
        <f>HYPERLINK("https://climate.onebuilding.org/WMO_Region_4_North_and_Central_America/NIC_Nicaragua/RI_Rivas/NIC_RI_Rivas.787330_TMYx.zip")</f>
        <v>https://climate.onebuilding.org/WMO_Region_4_North_and_Central_America/NIC_Nicaragua/RI_Rivas/NIC_RI_Rivas.787330_TMYx.zip</v>
      </c>
    </row>
    <row r="1256" spans="1:10" x14ac:dyDescent="0.25">
      <c r="A1256" t="s">
        <v>734</v>
      </c>
      <c r="B1256" t="s">
        <v>742</v>
      </c>
      <c r="C1256" t="s">
        <v>743</v>
      </c>
      <c r="D1256">
        <v>787340</v>
      </c>
      <c r="E1256" t="s">
        <v>744</v>
      </c>
      <c r="F1256">
        <v>13.0997</v>
      </c>
      <c r="G1256">
        <v>-86.000200000000007</v>
      </c>
      <c r="H1256">
        <v>-6</v>
      </c>
      <c r="I1256">
        <v>1051</v>
      </c>
      <c r="J1256" t="str">
        <f>HYPERLINK("https://climate.onebuilding.org/WMO_Region_4_North_and_Central_America/NIC_Nicaragua/JI_Jinotega/NIC_JI_Jinotega.787340_TMYx.2004-2018.zip")</f>
        <v>https://climate.onebuilding.org/WMO_Region_4_North_and_Central_America/NIC_Nicaragua/JI_Jinotega/NIC_JI_Jinotega.787340_TMYx.2004-2018.zip</v>
      </c>
    </row>
    <row r="1257" spans="1:10" x14ac:dyDescent="0.25">
      <c r="A1257" t="s">
        <v>734</v>
      </c>
      <c r="B1257" t="s">
        <v>742</v>
      </c>
      <c r="C1257" t="s">
        <v>743</v>
      </c>
      <c r="D1257">
        <v>787340</v>
      </c>
      <c r="E1257" t="s">
        <v>10</v>
      </c>
      <c r="F1257">
        <v>13.09967</v>
      </c>
      <c r="G1257">
        <v>-86.000209999999996</v>
      </c>
      <c r="H1257">
        <v>-6</v>
      </c>
      <c r="I1257">
        <v>1051</v>
      </c>
      <c r="J1257" t="str">
        <f>HYPERLINK("https://climate.onebuilding.org/WMO_Region_4_North_and_Central_America/NIC_Nicaragua/JI_Jinotega/NIC_JI_Jinotega.787340_TMYx.2007-2021.zip")</f>
        <v>https://climate.onebuilding.org/WMO_Region_4_North_and_Central_America/NIC_Nicaragua/JI_Jinotega/NIC_JI_Jinotega.787340_TMYx.2007-2021.zip</v>
      </c>
    </row>
    <row r="1258" spans="1:10" x14ac:dyDescent="0.25">
      <c r="A1258" t="s">
        <v>734</v>
      </c>
      <c r="B1258" t="s">
        <v>742</v>
      </c>
      <c r="C1258" t="s">
        <v>743</v>
      </c>
      <c r="D1258">
        <v>787340</v>
      </c>
      <c r="E1258" t="s">
        <v>10</v>
      </c>
      <c r="F1258">
        <v>13.09967</v>
      </c>
      <c r="G1258">
        <v>-86.000209999999996</v>
      </c>
      <c r="H1258">
        <v>-6</v>
      </c>
      <c r="I1258">
        <v>1051</v>
      </c>
      <c r="J1258" t="str">
        <f>HYPERLINK("https://climate.onebuilding.org/WMO_Region_4_North_and_Central_America/NIC_Nicaragua/JI_Jinotega/NIC_JI_Jinotega.787340_TMYx.2009-2023.zip")</f>
        <v>https://climate.onebuilding.org/WMO_Region_4_North_and_Central_America/NIC_Nicaragua/JI_Jinotega/NIC_JI_Jinotega.787340_TMYx.2009-2023.zip</v>
      </c>
    </row>
    <row r="1259" spans="1:10" x14ac:dyDescent="0.25">
      <c r="A1259" t="s">
        <v>734</v>
      </c>
      <c r="B1259" t="s">
        <v>742</v>
      </c>
      <c r="C1259" t="s">
        <v>743</v>
      </c>
      <c r="D1259">
        <v>787340</v>
      </c>
      <c r="E1259" t="s">
        <v>10</v>
      </c>
      <c r="F1259">
        <v>13.09967</v>
      </c>
      <c r="G1259">
        <v>-86.000209999999996</v>
      </c>
      <c r="H1259">
        <v>-6</v>
      </c>
      <c r="I1259">
        <v>1051</v>
      </c>
      <c r="J1259" t="str">
        <f>HYPERLINK("https://climate.onebuilding.org/WMO_Region_4_North_and_Central_America/NIC_Nicaragua/JI_Jinotega/NIC_JI_Jinotega.787340_TMYx.zip")</f>
        <v>https://climate.onebuilding.org/WMO_Region_4_North_and_Central_America/NIC_Nicaragua/JI_Jinotega/NIC_JI_Jinotega.787340_TMYx.zip</v>
      </c>
    </row>
    <row r="1260" spans="1:10" x14ac:dyDescent="0.25">
      <c r="A1260" t="s">
        <v>734</v>
      </c>
      <c r="B1260" t="s">
        <v>745</v>
      </c>
      <c r="C1260" t="s">
        <v>746</v>
      </c>
      <c r="D1260">
        <v>787350</v>
      </c>
      <c r="E1260" t="s">
        <v>747</v>
      </c>
      <c r="F1260">
        <v>12.1</v>
      </c>
      <c r="G1260">
        <v>-85.367000000000004</v>
      </c>
      <c r="H1260">
        <v>-6</v>
      </c>
      <c r="I1260">
        <v>90</v>
      </c>
      <c r="J1260" t="str">
        <f>HYPERLINK("https://climate.onebuilding.org/WMO_Region_4_North_and_Central_America/NIC_Nicaragua/CO_Chontales/NIC_CO_Juigalpa.787350_TMYx.2004-2018.zip")</f>
        <v>https://climate.onebuilding.org/WMO_Region_4_North_and_Central_America/NIC_Nicaragua/CO_Chontales/NIC_CO_Juigalpa.787350_TMYx.2004-2018.zip</v>
      </c>
    </row>
    <row r="1261" spans="1:10" x14ac:dyDescent="0.25">
      <c r="A1261" t="s">
        <v>734</v>
      </c>
      <c r="B1261" t="s">
        <v>745</v>
      </c>
      <c r="C1261" t="s">
        <v>746</v>
      </c>
      <c r="D1261">
        <v>787350</v>
      </c>
      <c r="E1261" t="s">
        <v>10</v>
      </c>
      <c r="F1261">
        <v>12.1</v>
      </c>
      <c r="G1261">
        <v>-85.367000000000004</v>
      </c>
      <c r="H1261">
        <v>-6</v>
      </c>
      <c r="I1261">
        <v>90</v>
      </c>
      <c r="J1261" t="str">
        <f>HYPERLINK("https://climate.onebuilding.org/WMO_Region_4_North_and_Central_America/NIC_Nicaragua/CO_Chontales/NIC_CO_Juigalpa.787350_TMYx.2007-2021.zip")</f>
        <v>https://climate.onebuilding.org/WMO_Region_4_North_and_Central_America/NIC_Nicaragua/CO_Chontales/NIC_CO_Juigalpa.787350_TMYx.2007-2021.zip</v>
      </c>
    </row>
    <row r="1262" spans="1:10" x14ac:dyDescent="0.25">
      <c r="A1262" t="s">
        <v>734</v>
      </c>
      <c r="B1262" t="s">
        <v>745</v>
      </c>
      <c r="C1262" t="s">
        <v>746</v>
      </c>
      <c r="D1262">
        <v>787350</v>
      </c>
      <c r="E1262" t="s">
        <v>10</v>
      </c>
      <c r="F1262">
        <v>12.1</v>
      </c>
      <c r="G1262">
        <v>-85.367000000000004</v>
      </c>
      <c r="H1262">
        <v>-6</v>
      </c>
      <c r="I1262">
        <v>90</v>
      </c>
      <c r="J1262" t="str">
        <f>HYPERLINK("https://climate.onebuilding.org/WMO_Region_4_North_and_Central_America/NIC_Nicaragua/CO_Chontales/NIC_CO_Juigalpa.787350_TMYx.2009-2023.zip")</f>
        <v>https://climate.onebuilding.org/WMO_Region_4_North_and_Central_America/NIC_Nicaragua/CO_Chontales/NIC_CO_Juigalpa.787350_TMYx.2009-2023.zip</v>
      </c>
    </row>
    <row r="1263" spans="1:10" x14ac:dyDescent="0.25">
      <c r="A1263" t="s">
        <v>734</v>
      </c>
      <c r="B1263" t="s">
        <v>745</v>
      </c>
      <c r="C1263" t="s">
        <v>746</v>
      </c>
      <c r="D1263">
        <v>787350</v>
      </c>
      <c r="E1263" t="s">
        <v>10</v>
      </c>
      <c r="F1263">
        <v>12.1</v>
      </c>
      <c r="G1263">
        <v>-85.367000000000004</v>
      </c>
      <c r="H1263">
        <v>-6</v>
      </c>
      <c r="I1263">
        <v>90</v>
      </c>
      <c r="J1263" t="str">
        <f>HYPERLINK("https://climate.onebuilding.org/WMO_Region_4_North_and_Central_America/NIC_Nicaragua/CO_Chontales/NIC_CO_Juigalpa.787350_TMYx.zip")</f>
        <v>https://climate.onebuilding.org/WMO_Region_4_North_and_Central_America/NIC_Nicaragua/CO_Chontales/NIC_CO_Juigalpa.787350_TMYx.zip</v>
      </c>
    </row>
    <row r="1264" spans="1:10" x14ac:dyDescent="0.25">
      <c r="A1264" t="s">
        <v>734</v>
      </c>
      <c r="B1264" t="s">
        <v>748</v>
      </c>
      <c r="C1264" t="s">
        <v>749</v>
      </c>
      <c r="D1264">
        <v>787353</v>
      </c>
      <c r="E1264" t="s">
        <v>18</v>
      </c>
      <c r="F1264">
        <v>12.428000000000001</v>
      </c>
      <c r="G1264">
        <v>-86.902000000000001</v>
      </c>
      <c r="H1264">
        <v>-6</v>
      </c>
      <c r="I1264">
        <v>100</v>
      </c>
      <c r="J1264" t="str">
        <f>HYPERLINK("https://climate.onebuilding.org/WMO_Region_4_North_and_Central_America/NIC_Nicaragua/LE_Leon/NIC_LE_Urroz.AP.787353_TMYx.2007-2021.zip")</f>
        <v>https://climate.onebuilding.org/WMO_Region_4_North_and_Central_America/NIC_Nicaragua/LE_Leon/NIC_LE_Urroz.AP.787353_TMYx.2007-2021.zip</v>
      </c>
    </row>
    <row r="1265" spans="1:10" x14ac:dyDescent="0.25">
      <c r="A1265" t="s">
        <v>734</v>
      </c>
      <c r="B1265" t="s">
        <v>748</v>
      </c>
      <c r="C1265" t="s">
        <v>749</v>
      </c>
      <c r="D1265">
        <v>787353</v>
      </c>
      <c r="E1265" t="s">
        <v>18</v>
      </c>
      <c r="F1265">
        <v>12.428000000000001</v>
      </c>
      <c r="G1265">
        <v>-86.902000000000001</v>
      </c>
      <c r="H1265">
        <v>-6</v>
      </c>
      <c r="I1265">
        <v>100</v>
      </c>
      <c r="J1265" t="str">
        <f>HYPERLINK("https://climate.onebuilding.org/WMO_Region_4_North_and_Central_America/NIC_Nicaragua/LE_Leon/NIC_LE_Urroz.AP.787353_TMYx.2009-2023.zip")</f>
        <v>https://climate.onebuilding.org/WMO_Region_4_North_and_Central_America/NIC_Nicaragua/LE_Leon/NIC_LE_Urroz.AP.787353_TMYx.2009-2023.zip</v>
      </c>
    </row>
    <row r="1266" spans="1:10" x14ac:dyDescent="0.25">
      <c r="A1266" t="s">
        <v>734</v>
      </c>
      <c r="B1266" t="s">
        <v>748</v>
      </c>
      <c r="C1266" t="s">
        <v>749</v>
      </c>
      <c r="D1266">
        <v>787353</v>
      </c>
      <c r="E1266" t="s">
        <v>18</v>
      </c>
      <c r="F1266">
        <v>12.428000000000001</v>
      </c>
      <c r="G1266">
        <v>-86.902000000000001</v>
      </c>
      <c r="H1266">
        <v>-6</v>
      </c>
      <c r="I1266">
        <v>100</v>
      </c>
      <c r="J1266" t="str">
        <f>HYPERLINK("https://climate.onebuilding.org/WMO_Region_4_North_and_Central_America/NIC_Nicaragua/LE_Leon/NIC_LE_Urroz.AP.787353_TMYx.zip")</f>
        <v>https://climate.onebuilding.org/WMO_Region_4_North_and_Central_America/NIC_Nicaragua/LE_Leon/NIC_LE_Urroz.AP.787353_TMYx.zip</v>
      </c>
    </row>
    <row r="1267" spans="1:10" x14ac:dyDescent="0.25">
      <c r="A1267" t="s">
        <v>734</v>
      </c>
      <c r="B1267" t="s">
        <v>57</v>
      </c>
      <c r="C1267" t="s">
        <v>750</v>
      </c>
      <c r="D1267">
        <v>787390</v>
      </c>
      <c r="E1267" t="s">
        <v>751</v>
      </c>
      <c r="F1267">
        <v>12.632999999999999</v>
      </c>
      <c r="G1267">
        <v>-87.132999999999996</v>
      </c>
      <c r="H1267">
        <v>-6</v>
      </c>
      <c r="I1267">
        <v>53</v>
      </c>
      <c r="J1267" t="str">
        <f>HYPERLINK("https://climate.onebuilding.org/WMO_Region_4_North_and_Central_America/NIC_Nicaragua/CI_Chinandega/NIC_CI_Chinandega.AP.787390_TMYx.2004-2018.zip")</f>
        <v>https://climate.onebuilding.org/WMO_Region_4_North_and_Central_America/NIC_Nicaragua/CI_Chinandega/NIC_CI_Chinandega.AP.787390_TMYx.2004-2018.zip</v>
      </c>
    </row>
    <row r="1268" spans="1:10" x14ac:dyDescent="0.25">
      <c r="A1268" t="s">
        <v>734</v>
      </c>
      <c r="B1268" t="s">
        <v>57</v>
      </c>
      <c r="C1268" t="s">
        <v>750</v>
      </c>
      <c r="D1268">
        <v>787390</v>
      </c>
      <c r="E1268" t="s">
        <v>10</v>
      </c>
      <c r="F1268">
        <v>12.632999999999999</v>
      </c>
      <c r="G1268">
        <v>-87.132999999999996</v>
      </c>
      <c r="H1268">
        <v>-6</v>
      </c>
      <c r="I1268">
        <v>53</v>
      </c>
      <c r="J1268" t="str">
        <f>HYPERLINK("https://climate.onebuilding.org/WMO_Region_4_North_and_Central_America/NIC_Nicaragua/CI_Chinandega/NIC_CI_Chinandega.AP.787390_TMYx.2007-2021.zip")</f>
        <v>https://climate.onebuilding.org/WMO_Region_4_North_and_Central_America/NIC_Nicaragua/CI_Chinandega/NIC_CI_Chinandega.AP.787390_TMYx.2007-2021.zip</v>
      </c>
    </row>
    <row r="1269" spans="1:10" x14ac:dyDescent="0.25">
      <c r="A1269" t="s">
        <v>734</v>
      </c>
      <c r="B1269" t="s">
        <v>57</v>
      </c>
      <c r="C1269" t="s">
        <v>750</v>
      </c>
      <c r="D1269">
        <v>787390</v>
      </c>
      <c r="E1269" t="s">
        <v>10</v>
      </c>
      <c r="F1269">
        <v>12.632999999999999</v>
      </c>
      <c r="G1269">
        <v>-87.132999999999996</v>
      </c>
      <c r="H1269">
        <v>-6</v>
      </c>
      <c r="I1269">
        <v>53</v>
      </c>
      <c r="J1269" t="str">
        <f>HYPERLINK("https://climate.onebuilding.org/WMO_Region_4_North_and_Central_America/NIC_Nicaragua/CI_Chinandega/NIC_CI_Chinandega.AP.787390_TMYx.2009-2023.zip")</f>
        <v>https://climate.onebuilding.org/WMO_Region_4_North_and_Central_America/NIC_Nicaragua/CI_Chinandega/NIC_CI_Chinandega.AP.787390_TMYx.2009-2023.zip</v>
      </c>
    </row>
    <row r="1270" spans="1:10" x14ac:dyDescent="0.25">
      <c r="A1270" t="s">
        <v>734</v>
      </c>
      <c r="B1270" t="s">
        <v>57</v>
      </c>
      <c r="C1270" t="s">
        <v>750</v>
      </c>
      <c r="D1270">
        <v>787390</v>
      </c>
      <c r="E1270" t="s">
        <v>10</v>
      </c>
      <c r="F1270">
        <v>12.632999999999999</v>
      </c>
      <c r="G1270">
        <v>-87.132999999999996</v>
      </c>
      <c r="H1270">
        <v>-6</v>
      </c>
      <c r="I1270">
        <v>53</v>
      </c>
      <c r="J1270" t="str">
        <f>HYPERLINK("https://climate.onebuilding.org/WMO_Region_4_North_and_Central_America/NIC_Nicaragua/CI_Chinandega/NIC_CI_Chinandega.AP.787390_TMYx.zip")</f>
        <v>https://climate.onebuilding.org/WMO_Region_4_North_and_Central_America/NIC_Nicaragua/CI_Chinandega/NIC_CI_Chinandega.AP.787390_TMYx.zip</v>
      </c>
    </row>
    <row r="1271" spans="1:10" x14ac:dyDescent="0.25">
      <c r="A1271" t="s">
        <v>734</v>
      </c>
      <c r="B1271" t="s">
        <v>752</v>
      </c>
      <c r="C1271" t="s">
        <v>753</v>
      </c>
      <c r="D1271">
        <v>787410</v>
      </c>
      <c r="E1271" t="s">
        <v>754</v>
      </c>
      <c r="F1271">
        <v>12.141</v>
      </c>
      <c r="G1271">
        <v>-86.168000000000006</v>
      </c>
      <c r="H1271">
        <v>-6</v>
      </c>
      <c r="I1271">
        <v>59.1</v>
      </c>
      <c r="J1271" t="str">
        <f>HYPERLINK("https://climate.onebuilding.org/WMO_Region_4_North_and_Central_America/NIC_Nicaragua/MN_Managua/NIC_MN_Managua-Sandino.Intl.AP.787410_TMYx.2004-2018.zip")</f>
        <v>https://climate.onebuilding.org/WMO_Region_4_North_and_Central_America/NIC_Nicaragua/MN_Managua/NIC_MN_Managua-Sandino.Intl.AP.787410_TMYx.2004-2018.zip</v>
      </c>
    </row>
    <row r="1272" spans="1:10" x14ac:dyDescent="0.25">
      <c r="A1272" t="s">
        <v>734</v>
      </c>
      <c r="B1272" t="s">
        <v>752</v>
      </c>
      <c r="C1272" t="s">
        <v>753</v>
      </c>
      <c r="D1272">
        <v>787410</v>
      </c>
      <c r="E1272" t="s">
        <v>10</v>
      </c>
      <c r="F1272">
        <v>12.141</v>
      </c>
      <c r="G1272">
        <v>-86.168000000000006</v>
      </c>
      <c r="H1272">
        <v>-6</v>
      </c>
      <c r="I1272">
        <v>59.1</v>
      </c>
      <c r="J1272" t="str">
        <f>HYPERLINK("https://climate.onebuilding.org/WMO_Region_4_North_and_Central_America/NIC_Nicaragua/MN_Managua/NIC_MN_Managua-Sandino.Intl.AP.787410_TMYx.2007-2021.zip")</f>
        <v>https://climate.onebuilding.org/WMO_Region_4_North_and_Central_America/NIC_Nicaragua/MN_Managua/NIC_MN_Managua-Sandino.Intl.AP.787410_TMYx.2007-2021.zip</v>
      </c>
    </row>
    <row r="1273" spans="1:10" x14ac:dyDescent="0.25">
      <c r="A1273" t="s">
        <v>734</v>
      </c>
      <c r="B1273" t="s">
        <v>752</v>
      </c>
      <c r="C1273" t="s">
        <v>753</v>
      </c>
      <c r="D1273">
        <v>787410</v>
      </c>
      <c r="E1273" t="s">
        <v>10</v>
      </c>
      <c r="F1273">
        <v>12.141</v>
      </c>
      <c r="G1273">
        <v>-86.168000000000006</v>
      </c>
      <c r="H1273">
        <v>-6</v>
      </c>
      <c r="I1273">
        <v>59.1</v>
      </c>
      <c r="J1273" t="str">
        <f>HYPERLINK("https://climate.onebuilding.org/WMO_Region_4_North_and_Central_America/NIC_Nicaragua/MN_Managua/NIC_MN_Managua-Sandino.Intl.AP.787410_TMYx.2009-2023.zip")</f>
        <v>https://climate.onebuilding.org/WMO_Region_4_North_and_Central_America/NIC_Nicaragua/MN_Managua/NIC_MN_Managua-Sandino.Intl.AP.787410_TMYx.2009-2023.zip</v>
      </c>
    </row>
    <row r="1274" spans="1:10" x14ac:dyDescent="0.25">
      <c r="A1274" t="s">
        <v>734</v>
      </c>
      <c r="B1274" t="s">
        <v>752</v>
      </c>
      <c r="C1274" t="s">
        <v>753</v>
      </c>
      <c r="D1274">
        <v>787410</v>
      </c>
      <c r="E1274" t="s">
        <v>10</v>
      </c>
      <c r="F1274">
        <v>12.141</v>
      </c>
      <c r="G1274">
        <v>-86.168000000000006</v>
      </c>
      <c r="H1274">
        <v>-6</v>
      </c>
      <c r="I1274">
        <v>59.1</v>
      </c>
      <c r="J1274" t="str">
        <f>HYPERLINK("https://climate.onebuilding.org/WMO_Region_4_North_and_Central_America/NIC_Nicaragua/MN_Managua/NIC_MN_Managua-Sandino.Intl.AP.787410_TMYx.zip")</f>
        <v>https://climate.onebuilding.org/WMO_Region_4_North_and_Central_America/NIC_Nicaragua/MN_Managua/NIC_MN_Managua-Sandino.Intl.AP.787410_TMYx.zip</v>
      </c>
    </row>
    <row r="1275" spans="1:10" x14ac:dyDescent="0.25">
      <c r="A1275" t="s">
        <v>734</v>
      </c>
      <c r="B1275" t="s">
        <v>105</v>
      </c>
      <c r="C1275" t="s">
        <v>755</v>
      </c>
      <c r="D1275">
        <v>787440</v>
      </c>
      <c r="E1275" t="s">
        <v>10</v>
      </c>
      <c r="F1275">
        <v>11.129799999999999</v>
      </c>
      <c r="G1275">
        <v>-84.778049999999993</v>
      </c>
      <c r="H1275">
        <v>-6</v>
      </c>
      <c r="I1275">
        <v>40</v>
      </c>
      <c r="J1275" t="str">
        <f>HYPERLINK("https://climate.onebuilding.org/WMO_Region_4_North_and_Central_America/NIC_Nicaragua/SJ_Rio_San_Juan/NIC_SJ_San.Carlos.787440_TMYx.2007-2021.zip")</f>
        <v>https://climate.onebuilding.org/WMO_Region_4_North_and_Central_America/NIC_Nicaragua/SJ_Rio_San_Juan/NIC_SJ_San.Carlos.787440_TMYx.2007-2021.zip</v>
      </c>
    </row>
    <row r="1276" spans="1:10" x14ac:dyDescent="0.25">
      <c r="A1276" t="s">
        <v>734</v>
      </c>
      <c r="B1276" t="s">
        <v>105</v>
      </c>
      <c r="C1276" t="s">
        <v>755</v>
      </c>
      <c r="D1276">
        <v>787440</v>
      </c>
      <c r="E1276" t="s">
        <v>10</v>
      </c>
      <c r="F1276">
        <v>11.129799999999999</v>
      </c>
      <c r="G1276">
        <v>-84.778049999999993</v>
      </c>
      <c r="H1276">
        <v>-6</v>
      </c>
      <c r="I1276">
        <v>40</v>
      </c>
      <c r="J1276" t="str">
        <f>HYPERLINK("https://climate.onebuilding.org/WMO_Region_4_North_and_Central_America/NIC_Nicaragua/SJ_Rio_San_Juan/NIC_SJ_San.Carlos.787440_TMYx.2009-2023.zip")</f>
        <v>https://climate.onebuilding.org/WMO_Region_4_North_and_Central_America/NIC_Nicaragua/SJ_Rio_San_Juan/NIC_SJ_San.Carlos.787440_TMYx.2009-2023.zip</v>
      </c>
    </row>
    <row r="1277" spans="1:10" x14ac:dyDescent="0.25">
      <c r="A1277" t="s">
        <v>734</v>
      </c>
      <c r="B1277" t="s">
        <v>105</v>
      </c>
      <c r="C1277" t="s">
        <v>755</v>
      </c>
      <c r="D1277">
        <v>787440</v>
      </c>
      <c r="E1277" t="s">
        <v>10</v>
      </c>
      <c r="F1277">
        <v>11.129799999999999</v>
      </c>
      <c r="G1277">
        <v>-84.778049999999993</v>
      </c>
      <c r="H1277">
        <v>-6</v>
      </c>
      <c r="I1277">
        <v>40</v>
      </c>
      <c r="J1277" t="str">
        <f>HYPERLINK("https://climate.onebuilding.org/WMO_Region_4_North_and_Central_America/NIC_Nicaragua/SJ_Rio_San_Juan/NIC_SJ_San.Carlos.787440_TMYx.zip")</f>
        <v>https://climate.onebuilding.org/WMO_Region_4_North_and_Central_America/NIC_Nicaragua/SJ_Rio_San_Juan/NIC_SJ_San.Carlos.787440_TMYx.zip</v>
      </c>
    </row>
    <row r="1278" spans="1:10" x14ac:dyDescent="0.25">
      <c r="A1278" t="s">
        <v>734</v>
      </c>
      <c r="B1278" t="s">
        <v>756</v>
      </c>
      <c r="C1278" t="s">
        <v>757</v>
      </c>
      <c r="D1278">
        <v>787450</v>
      </c>
      <c r="E1278" t="s">
        <v>758</v>
      </c>
      <c r="F1278">
        <v>11.991</v>
      </c>
      <c r="G1278">
        <v>-83.774000000000001</v>
      </c>
      <c r="H1278">
        <v>-6</v>
      </c>
      <c r="I1278">
        <v>6.1</v>
      </c>
      <c r="J1278" t="str">
        <f>HYPERLINK("https://climate.onebuilding.org/WMO_Region_4_North_and_Central_America/NIC_Nicaragua/AS_Atlantico_Sur/NIC_AS_Bluefields.Intl.AP.787450_TMYx.2004-2018.zip")</f>
        <v>https://climate.onebuilding.org/WMO_Region_4_North_and_Central_America/NIC_Nicaragua/AS_Atlantico_Sur/NIC_AS_Bluefields.Intl.AP.787450_TMYx.2004-2018.zip</v>
      </c>
    </row>
    <row r="1279" spans="1:10" x14ac:dyDescent="0.25">
      <c r="A1279" t="s">
        <v>734</v>
      </c>
      <c r="B1279" t="s">
        <v>756</v>
      </c>
      <c r="C1279" t="s">
        <v>757</v>
      </c>
      <c r="D1279">
        <v>787450</v>
      </c>
      <c r="E1279" t="s">
        <v>10</v>
      </c>
      <c r="F1279">
        <v>11.991</v>
      </c>
      <c r="G1279">
        <v>-83.774000000000001</v>
      </c>
      <c r="H1279">
        <v>-6</v>
      </c>
      <c r="I1279">
        <v>6.1</v>
      </c>
      <c r="J1279" t="str">
        <f>HYPERLINK("https://climate.onebuilding.org/WMO_Region_4_North_and_Central_America/NIC_Nicaragua/AS_Atlantico_Sur/NIC_AS_Bluefields.Intl.AP.787450_TMYx.2007-2021.zip")</f>
        <v>https://climate.onebuilding.org/WMO_Region_4_North_and_Central_America/NIC_Nicaragua/AS_Atlantico_Sur/NIC_AS_Bluefields.Intl.AP.787450_TMYx.2007-2021.zip</v>
      </c>
    </row>
    <row r="1280" spans="1:10" x14ac:dyDescent="0.25">
      <c r="A1280" t="s">
        <v>734</v>
      </c>
      <c r="B1280" t="s">
        <v>756</v>
      </c>
      <c r="C1280" t="s">
        <v>757</v>
      </c>
      <c r="D1280">
        <v>787450</v>
      </c>
      <c r="E1280" t="s">
        <v>10</v>
      </c>
      <c r="F1280">
        <v>11.991</v>
      </c>
      <c r="G1280">
        <v>-83.774000000000001</v>
      </c>
      <c r="H1280">
        <v>-6</v>
      </c>
      <c r="I1280">
        <v>6.1</v>
      </c>
      <c r="J1280" t="str">
        <f>HYPERLINK("https://climate.onebuilding.org/WMO_Region_4_North_and_Central_America/NIC_Nicaragua/AS_Atlantico_Sur/NIC_AS_Bluefields.Intl.AP.787450_TMYx.2009-2023.zip")</f>
        <v>https://climate.onebuilding.org/WMO_Region_4_North_and_Central_America/NIC_Nicaragua/AS_Atlantico_Sur/NIC_AS_Bluefields.Intl.AP.787450_TMYx.2009-2023.zip</v>
      </c>
    </row>
    <row r="1281" spans="1:10" x14ac:dyDescent="0.25">
      <c r="A1281" t="s">
        <v>734</v>
      </c>
      <c r="B1281" t="s">
        <v>756</v>
      </c>
      <c r="C1281" t="s">
        <v>757</v>
      </c>
      <c r="D1281">
        <v>787450</v>
      </c>
      <c r="E1281" t="s">
        <v>10</v>
      </c>
      <c r="F1281">
        <v>11.991</v>
      </c>
      <c r="G1281">
        <v>-83.774000000000001</v>
      </c>
      <c r="H1281">
        <v>-6</v>
      </c>
      <c r="I1281">
        <v>6.1</v>
      </c>
      <c r="J1281" t="str">
        <f>HYPERLINK("https://climate.onebuilding.org/WMO_Region_4_North_and_Central_America/NIC_Nicaragua/AS_Atlantico_Sur/NIC_AS_Bluefields.Intl.AP.787450_TMYx.zip")</f>
        <v>https://climate.onebuilding.org/WMO_Region_4_North_and_Central_America/NIC_Nicaragua/AS_Atlantico_Sur/NIC_AS_Bluefields.Intl.AP.787450_TMYx.zip</v>
      </c>
    </row>
    <row r="1282" spans="1:10" x14ac:dyDescent="0.25">
      <c r="A1282" t="s">
        <v>759</v>
      </c>
      <c r="B1282" t="s">
        <v>760</v>
      </c>
      <c r="C1282" t="s">
        <v>761</v>
      </c>
      <c r="D1282">
        <v>749025</v>
      </c>
      <c r="E1282" t="s">
        <v>18</v>
      </c>
      <c r="F1282">
        <v>8.5850000000000009</v>
      </c>
      <c r="G1282">
        <v>-79.890690000000006</v>
      </c>
      <c r="H1282">
        <v>-5</v>
      </c>
      <c r="I1282">
        <v>37</v>
      </c>
      <c r="J1282" t="str">
        <f>HYPERLINK("https://climate.onebuilding.org/WMO_Region_4_North_and_Central_America/PAN_Panama/PAN_PO_Chame.AF.749025_TMYx.2007-2021.zip")</f>
        <v>https://climate.onebuilding.org/WMO_Region_4_North_and_Central_America/PAN_Panama/PAN_PO_Chame.AF.749025_TMYx.2007-2021.zip</v>
      </c>
    </row>
    <row r="1283" spans="1:10" x14ac:dyDescent="0.25">
      <c r="A1283" t="s">
        <v>759</v>
      </c>
      <c r="B1283" t="s">
        <v>760</v>
      </c>
      <c r="C1283" t="s">
        <v>761</v>
      </c>
      <c r="D1283">
        <v>749025</v>
      </c>
      <c r="E1283" t="s">
        <v>18</v>
      </c>
      <c r="F1283">
        <v>8.5850000000000009</v>
      </c>
      <c r="G1283">
        <v>-79.890690000000006</v>
      </c>
      <c r="H1283">
        <v>-5</v>
      </c>
      <c r="I1283">
        <v>37</v>
      </c>
      <c r="J1283" t="str">
        <f>HYPERLINK("https://climate.onebuilding.org/WMO_Region_4_North_and_Central_America/PAN_Panama/PAN_PO_Chame.AF.749025_TMYx.2009-2023.zip")</f>
        <v>https://climate.onebuilding.org/WMO_Region_4_North_and_Central_America/PAN_Panama/PAN_PO_Chame.AF.749025_TMYx.2009-2023.zip</v>
      </c>
    </row>
    <row r="1284" spans="1:10" x14ac:dyDescent="0.25">
      <c r="A1284" t="s">
        <v>759</v>
      </c>
      <c r="B1284" t="s">
        <v>760</v>
      </c>
      <c r="C1284" t="s">
        <v>761</v>
      </c>
      <c r="D1284">
        <v>749025</v>
      </c>
      <c r="E1284" t="s">
        <v>18</v>
      </c>
      <c r="F1284">
        <v>8.5850000000000009</v>
      </c>
      <c r="G1284">
        <v>-79.890690000000006</v>
      </c>
      <c r="H1284">
        <v>-5</v>
      </c>
      <c r="I1284">
        <v>37</v>
      </c>
      <c r="J1284" t="str">
        <f>HYPERLINK("https://climate.onebuilding.org/WMO_Region_4_North_and_Central_America/PAN_Panama/PAN_PO_Chame.AF.749025_TMYx.zip")</f>
        <v>https://climate.onebuilding.org/WMO_Region_4_North_and_Central_America/PAN_Panama/PAN_PO_Chame.AF.749025_TMYx.zip</v>
      </c>
    </row>
    <row r="1285" spans="1:10" x14ac:dyDescent="0.25">
      <c r="A1285" t="s">
        <v>759</v>
      </c>
      <c r="B1285" t="s">
        <v>762</v>
      </c>
      <c r="C1285" t="s">
        <v>763</v>
      </c>
      <c r="D1285">
        <v>749026</v>
      </c>
      <c r="E1285" t="s">
        <v>18</v>
      </c>
      <c r="F1285">
        <v>8.3926499999999997</v>
      </c>
      <c r="G1285">
        <v>-78.906189999999995</v>
      </c>
      <c r="H1285">
        <v>-5</v>
      </c>
      <c r="I1285">
        <v>141</v>
      </c>
      <c r="J1285" t="str">
        <f>HYPERLINK("https://climate.onebuilding.org/WMO_Region_4_North_and_Central_America/PAN_Panama/PAN_PM_Isla.del.Rey.749026_TMYx.2007-2021.zip")</f>
        <v>https://climate.onebuilding.org/WMO_Region_4_North_and_Central_America/PAN_Panama/PAN_PM_Isla.del.Rey.749026_TMYx.2007-2021.zip</v>
      </c>
    </row>
    <row r="1286" spans="1:10" x14ac:dyDescent="0.25">
      <c r="A1286" t="s">
        <v>759</v>
      </c>
      <c r="B1286" t="s">
        <v>762</v>
      </c>
      <c r="C1286" t="s">
        <v>763</v>
      </c>
      <c r="D1286">
        <v>749026</v>
      </c>
      <c r="E1286" t="s">
        <v>18</v>
      </c>
      <c r="F1286">
        <v>8.3926499999999997</v>
      </c>
      <c r="G1286">
        <v>-78.906189999999995</v>
      </c>
      <c r="H1286">
        <v>-5</v>
      </c>
      <c r="I1286">
        <v>141</v>
      </c>
      <c r="J1286" t="str">
        <f>HYPERLINK("https://climate.onebuilding.org/WMO_Region_4_North_and_Central_America/PAN_Panama/PAN_PM_Isla.del.Rey.749026_TMYx.2009-2023.zip")</f>
        <v>https://climate.onebuilding.org/WMO_Region_4_North_and_Central_America/PAN_Panama/PAN_PM_Isla.del.Rey.749026_TMYx.2009-2023.zip</v>
      </c>
    </row>
    <row r="1287" spans="1:10" x14ac:dyDescent="0.25">
      <c r="A1287" t="s">
        <v>759</v>
      </c>
      <c r="B1287" t="s">
        <v>762</v>
      </c>
      <c r="C1287" t="s">
        <v>763</v>
      </c>
      <c r="D1287">
        <v>749026</v>
      </c>
      <c r="E1287" t="s">
        <v>18</v>
      </c>
      <c r="F1287">
        <v>8.3926499999999997</v>
      </c>
      <c r="G1287">
        <v>-78.906189999999995</v>
      </c>
      <c r="H1287">
        <v>-5</v>
      </c>
      <c r="I1287">
        <v>141</v>
      </c>
      <c r="J1287" t="str">
        <f>HYPERLINK("https://climate.onebuilding.org/WMO_Region_4_North_and_Central_America/PAN_Panama/PAN_PM_Isla.del.Rey.749026_TMYx.zip")</f>
        <v>https://climate.onebuilding.org/WMO_Region_4_North_and_Central_America/PAN_Panama/PAN_PM_Isla.del.Rey.749026_TMYx.zip</v>
      </c>
    </row>
    <row r="1288" spans="1:10" x14ac:dyDescent="0.25">
      <c r="A1288" t="s">
        <v>759</v>
      </c>
      <c r="B1288" t="s">
        <v>760</v>
      </c>
      <c r="C1288" t="s">
        <v>764</v>
      </c>
      <c r="D1288">
        <v>749027</v>
      </c>
      <c r="E1288" t="s">
        <v>18</v>
      </c>
      <c r="F1288">
        <v>8.85</v>
      </c>
      <c r="G1288">
        <v>-79.783000000000001</v>
      </c>
      <c r="H1288">
        <v>-5</v>
      </c>
      <c r="I1288">
        <v>94</v>
      </c>
      <c r="J1288" t="str">
        <f>HYPERLINK("https://climate.onebuilding.org/WMO_Region_4_North_and_Central_America/PAN_Panama/PAN_PO_La.Mitra.749027_TMYx.2007-2021.zip")</f>
        <v>https://climate.onebuilding.org/WMO_Region_4_North_and_Central_America/PAN_Panama/PAN_PO_La.Mitra.749027_TMYx.2007-2021.zip</v>
      </c>
    </row>
    <row r="1289" spans="1:10" x14ac:dyDescent="0.25">
      <c r="A1289" t="s">
        <v>759</v>
      </c>
      <c r="B1289" t="s">
        <v>760</v>
      </c>
      <c r="C1289" t="s">
        <v>764</v>
      </c>
      <c r="D1289">
        <v>749027</v>
      </c>
      <c r="E1289" t="s">
        <v>18</v>
      </c>
      <c r="F1289">
        <v>8.85</v>
      </c>
      <c r="G1289">
        <v>-79.783000000000001</v>
      </c>
      <c r="H1289">
        <v>-5</v>
      </c>
      <c r="I1289">
        <v>94</v>
      </c>
      <c r="J1289" t="str">
        <f>HYPERLINK("https://climate.onebuilding.org/WMO_Region_4_North_and_Central_America/PAN_Panama/PAN_PO_La.Mitra.749027_TMYx.2009-2023.zip")</f>
        <v>https://climate.onebuilding.org/WMO_Region_4_North_and_Central_America/PAN_Panama/PAN_PO_La.Mitra.749027_TMYx.2009-2023.zip</v>
      </c>
    </row>
    <row r="1290" spans="1:10" x14ac:dyDescent="0.25">
      <c r="A1290" t="s">
        <v>759</v>
      </c>
      <c r="B1290" t="s">
        <v>760</v>
      </c>
      <c r="C1290" t="s">
        <v>764</v>
      </c>
      <c r="D1290">
        <v>749027</v>
      </c>
      <c r="E1290" t="s">
        <v>18</v>
      </c>
      <c r="F1290">
        <v>8.85</v>
      </c>
      <c r="G1290">
        <v>-79.783000000000001</v>
      </c>
      <c r="H1290">
        <v>-5</v>
      </c>
      <c r="I1290">
        <v>94</v>
      </c>
      <c r="J1290" t="str">
        <f>HYPERLINK("https://climate.onebuilding.org/WMO_Region_4_North_and_Central_America/PAN_Panama/PAN_PO_La.Mitra.749027_TMYx.zip")</f>
        <v>https://climate.onebuilding.org/WMO_Region_4_North_and_Central_America/PAN_Panama/PAN_PO_La.Mitra.749027_TMYx.zip</v>
      </c>
    </row>
    <row r="1291" spans="1:10" x14ac:dyDescent="0.25">
      <c r="A1291" t="s">
        <v>759</v>
      </c>
      <c r="B1291" t="s">
        <v>762</v>
      </c>
      <c r="C1291" t="s">
        <v>765</v>
      </c>
      <c r="D1291">
        <v>749028</v>
      </c>
      <c r="E1291" t="s">
        <v>18</v>
      </c>
      <c r="F1291">
        <v>9.1329999999999991</v>
      </c>
      <c r="G1291">
        <v>-79.233000000000004</v>
      </c>
      <c r="H1291">
        <v>-5</v>
      </c>
      <c r="I1291">
        <v>48</v>
      </c>
      <c r="J1291" t="str">
        <f>HYPERLINK("https://climate.onebuilding.org/WMO_Region_4_North_and_Central_America/PAN_Panama/PAN_PM_La.Joya.749028_TMYx.2007-2021.zip")</f>
        <v>https://climate.onebuilding.org/WMO_Region_4_North_and_Central_America/PAN_Panama/PAN_PM_La.Joya.749028_TMYx.2007-2021.zip</v>
      </c>
    </row>
    <row r="1292" spans="1:10" x14ac:dyDescent="0.25">
      <c r="A1292" t="s">
        <v>759</v>
      </c>
      <c r="B1292" t="s">
        <v>762</v>
      </c>
      <c r="C1292" t="s">
        <v>765</v>
      </c>
      <c r="D1292">
        <v>749028</v>
      </c>
      <c r="E1292" t="s">
        <v>18</v>
      </c>
      <c r="F1292">
        <v>9.1329999999999991</v>
      </c>
      <c r="G1292">
        <v>-79.233000000000004</v>
      </c>
      <c r="H1292">
        <v>-5</v>
      </c>
      <c r="I1292">
        <v>48</v>
      </c>
      <c r="J1292" t="str">
        <f>HYPERLINK("https://climate.onebuilding.org/WMO_Region_4_North_and_Central_America/PAN_Panama/PAN_PM_La.Joya.749028_TMYx.2009-2023.zip")</f>
        <v>https://climate.onebuilding.org/WMO_Region_4_North_and_Central_America/PAN_Panama/PAN_PM_La.Joya.749028_TMYx.2009-2023.zip</v>
      </c>
    </row>
    <row r="1293" spans="1:10" x14ac:dyDescent="0.25">
      <c r="A1293" t="s">
        <v>759</v>
      </c>
      <c r="B1293" t="s">
        <v>762</v>
      </c>
      <c r="C1293" t="s">
        <v>765</v>
      </c>
      <c r="D1293">
        <v>749028</v>
      </c>
      <c r="E1293" t="s">
        <v>18</v>
      </c>
      <c r="F1293">
        <v>9.1329999999999991</v>
      </c>
      <c r="G1293">
        <v>-79.233000000000004</v>
      </c>
      <c r="H1293">
        <v>-5</v>
      </c>
      <c r="I1293">
        <v>48</v>
      </c>
      <c r="J1293" t="str">
        <f>HYPERLINK("https://climate.onebuilding.org/WMO_Region_4_North_and_Central_America/PAN_Panama/PAN_PM_La.Joya.749028_TMYx.zip")</f>
        <v>https://climate.onebuilding.org/WMO_Region_4_North_and_Central_America/PAN_Panama/PAN_PM_La.Joya.749028_TMYx.zip</v>
      </c>
    </row>
    <row r="1294" spans="1:10" x14ac:dyDescent="0.25">
      <c r="A1294" t="s">
        <v>759</v>
      </c>
      <c r="B1294" t="s">
        <v>762</v>
      </c>
      <c r="C1294" t="s">
        <v>766</v>
      </c>
      <c r="D1294">
        <v>749029</v>
      </c>
      <c r="E1294" t="s">
        <v>18</v>
      </c>
      <c r="F1294">
        <v>9.1660000000000004</v>
      </c>
      <c r="G1294">
        <v>-79.545000000000002</v>
      </c>
      <c r="H1294">
        <v>-5</v>
      </c>
      <c r="I1294">
        <v>120.1</v>
      </c>
      <c r="J1294" t="str">
        <f>HYPERLINK("https://climate.onebuilding.org/WMO_Region_4_North_and_Central_America/PAN_Panama/PAN_PM_Caimitillo-Calzada.Larga.AP.749029_TMYx.2007-2021.zip")</f>
        <v>https://climate.onebuilding.org/WMO_Region_4_North_and_Central_America/PAN_Panama/PAN_PM_Caimitillo-Calzada.Larga.AP.749029_TMYx.2007-2021.zip</v>
      </c>
    </row>
    <row r="1295" spans="1:10" x14ac:dyDescent="0.25">
      <c r="A1295" t="s">
        <v>759</v>
      </c>
      <c r="B1295" t="s">
        <v>762</v>
      </c>
      <c r="C1295" t="s">
        <v>766</v>
      </c>
      <c r="D1295">
        <v>749029</v>
      </c>
      <c r="E1295" t="s">
        <v>18</v>
      </c>
      <c r="F1295">
        <v>9.1660000000000004</v>
      </c>
      <c r="G1295">
        <v>-79.545000000000002</v>
      </c>
      <c r="H1295">
        <v>-5</v>
      </c>
      <c r="I1295">
        <v>120.1</v>
      </c>
      <c r="J1295" t="str">
        <f>HYPERLINK("https://climate.onebuilding.org/WMO_Region_4_North_and_Central_America/PAN_Panama/PAN_PM_Caimitillo-Calzada.Larga.AP.749029_TMYx.2009-2023.zip")</f>
        <v>https://climate.onebuilding.org/WMO_Region_4_North_and_Central_America/PAN_Panama/PAN_PM_Caimitillo-Calzada.Larga.AP.749029_TMYx.2009-2023.zip</v>
      </c>
    </row>
    <row r="1296" spans="1:10" x14ac:dyDescent="0.25">
      <c r="A1296" t="s">
        <v>759</v>
      </c>
      <c r="B1296" t="s">
        <v>762</v>
      </c>
      <c r="C1296" t="s">
        <v>766</v>
      </c>
      <c r="D1296">
        <v>749029</v>
      </c>
      <c r="E1296" t="s">
        <v>18</v>
      </c>
      <c r="F1296">
        <v>9.1660000000000004</v>
      </c>
      <c r="G1296">
        <v>-79.545000000000002</v>
      </c>
      <c r="H1296">
        <v>-5</v>
      </c>
      <c r="I1296">
        <v>120.1</v>
      </c>
      <c r="J1296" t="str">
        <f>HYPERLINK("https://climate.onebuilding.org/WMO_Region_4_North_and_Central_America/PAN_Panama/PAN_PM_Caimitillo-Calzada.Larga.AP.749029_TMYx.zip")</f>
        <v>https://climate.onebuilding.org/WMO_Region_4_North_and_Central_America/PAN_Panama/PAN_PM_Caimitillo-Calzada.Larga.AP.749029_TMYx.zip</v>
      </c>
    </row>
    <row r="1297" spans="1:10" x14ac:dyDescent="0.25">
      <c r="A1297" t="s">
        <v>759</v>
      </c>
      <c r="B1297" t="s">
        <v>76</v>
      </c>
      <c r="C1297" t="s">
        <v>767</v>
      </c>
      <c r="D1297">
        <v>749030</v>
      </c>
      <c r="E1297" t="s">
        <v>18</v>
      </c>
      <c r="F1297">
        <v>9.4553100000000008</v>
      </c>
      <c r="G1297">
        <v>-79.085759999999993</v>
      </c>
      <c r="H1297">
        <v>-5</v>
      </c>
      <c r="I1297">
        <v>14</v>
      </c>
      <c r="J1297" t="str">
        <f>HYPERLINK("https://climate.onebuilding.org/WMO_Region_4_North_and_Central_America/PAN_Panama/PAN_SB_Mandinga.AF.749030_TMYx.2007-2021.zip")</f>
        <v>https://climate.onebuilding.org/WMO_Region_4_North_and_Central_America/PAN_Panama/PAN_SB_Mandinga.AF.749030_TMYx.2007-2021.zip</v>
      </c>
    </row>
    <row r="1298" spans="1:10" x14ac:dyDescent="0.25">
      <c r="A1298" t="s">
        <v>759</v>
      </c>
      <c r="B1298" t="s">
        <v>76</v>
      </c>
      <c r="C1298" t="s">
        <v>767</v>
      </c>
      <c r="D1298">
        <v>749030</v>
      </c>
      <c r="E1298" t="s">
        <v>18</v>
      </c>
      <c r="F1298">
        <v>9.4553100000000008</v>
      </c>
      <c r="G1298">
        <v>-79.085759999999993</v>
      </c>
      <c r="H1298">
        <v>-5</v>
      </c>
      <c r="I1298">
        <v>14</v>
      </c>
      <c r="J1298" t="str">
        <f>HYPERLINK("https://climate.onebuilding.org/WMO_Region_4_North_and_Central_America/PAN_Panama/PAN_SB_Mandinga.AF.749030_TMYx.2009-2023.zip")</f>
        <v>https://climate.onebuilding.org/WMO_Region_4_North_and_Central_America/PAN_Panama/PAN_SB_Mandinga.AF.749030_TMYx.2009-2023.zip</v>
      </c>
    </row>
    <row r="1299" spans="1:10" x14ac:dyDescent="0.25">
      <c r="A1299" t="s">
        <v>759</v>
      </c>
      <c r="B1299" t="s">
        <v>76</v>
      </c>
      <c r="C1299" t="s">
        <v>767</v>
      </c>
      <c r="D1299">
        <v>749030</v>
      </c>
      <c r="E1299" t="s">
        <v>18</v>
      </c>
      <c r="F1299">
        <v>9.4553100000000008</v>
      </c>
      <c r="G1299">
        <v>-79.085759999999993</v>
      </c>
      <c r="H1299">
        <v>-5</v>
      </c>
      <c r="I1299">
        <v>14</v>
      </c>
      <c r="J1299" t="str">
        <f>HYPERLINK("https://climate.onebuilding.org/WMO_Region_4_North_and_Central_America/PAN_Panama/PAN_SB_Mandinga.AF.749030_TMYx.zip")</f>
        <v>https://climate.onebuilding.org/WMO_Region_4_North_and_Central_America/PAN_Panama/PAN_SB_Mandinga.AF.749030_TMYx.zip</v>
      </c>
    </row>
    <row r="1300" spans="1:10" x14ac:dyDescent="0.25">
      <c r="A1300" t="s">
        <v>759</v>
      </c>
      <c r="B1300" t="s">
        <v>762</v>
      </c>
      <c r="C1300" t="s">
        <v>768</v>
      </c>
      <c r="D1300">
        <v>749031</v>
      </c>
      <c r="E1300" t="s">
        <v>18</v>
      </c>
      <c r="F1300">
        <v>8.2529500000000002</v>
      </c>
      <c r="G1300">
        <v>-79.127740000000003</v>
      </c>
      <c r="H1300">
        <v>-5</v>
      </c>
      <c r="I1300">
        <v>29</v>
      </c>
      <c r="J1300" t="str">
        <f>HYPERLINK("https://climate.onebuilding.org/WMO_Region_4_North_and_Central_America/PAN_Panama/PAN_PM_San.Jose.Island.749031_TMYx.2007-2021.zip")</f>
        <v>https://climate.onebuilding.org/WMO_Region_4_North_and_Central_America/PAN_Panama/PAN_PM_San.Jose.Island.749031_TMYx.2007-2021.zip</v>
      </c>
    </row>
    <row r="1301" spans="1:10" x14ac:dyDescent="0.25">
      <c r="A1301" t="s">
        <v>759</v>
      </c>
      <c r="B1301" t="s">
        <v>762</v>
      </c>
      <c r="C1301" t="s">
        <v>768</v>
      </c>
      <c r="D1301">
        <v>749031</v>
      </c>
      <c r="E1301" t="s">
        <v>18</v>
      </c>
      <c r="F1301">
        <v>8.2529500000000002</v>
      </c>
      <c r="G1301">
        <v>-79.127740000000003</v>
      </c>
      <c r="H1301">
        <v>-5</v>
      </c>
      <c r="I1301">
        <v>29</v>
      </c>
      <c r="J1301" t="str">
        <f>HYPERLINK("https://climate.onebuilding.org/WMO_Region_4_North_and_Central_America/PAN_Panama/PAN_PM_San.Jose.Island.749031_TMYx.2009-2023.zip")</f>
        <v>https://climate.onebuilding.org/WMO_Region_4_North_and_Central_America/PAN_Panama/PAN_PM_San.Jose.Island.749031_TMYx.2009-2023.zip</v>
      </c>
    </row>
    <row r="1302" spans="1:10" x14ac:dyDescent="0.25">
      <c r="A1302" t="s">
        <v>759</v>
      </c>
      <c r="B1302" t="s">
        <v>762</v>
      </c>
      <c r="C1302" t="s">
        <v>768</v>
      </c>
      <c r="D1302">
        <v>749031</v>
      </c>
      <c r="E1302" t="s">
        <v>18</v>
      </c>
      <c r="F1302">
        <v>8.2529500000000002</v>
      </c>
      <c r="G1302">
        <v>-79.127740000000003</v>
      </c>
      <c r="H1302">
        <v>-5</v>
      </c>
      <c r="I1302">
        <v>29</v>
      </c>
      <c r="J1302" t="str">
        <f>HYPERLINK("https://climate.onebuilding.org/WMO_Region_4_North_and_Central_America/PAN_Panama/PAN_PM_San.Jose.Island.749031_TMYx.zip")</f>
        <v>https://climate.onebuilding.org/WMO_Region_4_North_and_Central_America/PAN_Panama/PAN_PM_San.Jose.Island.749031_TMYx.zip</v>
      </c>
    </row>
    <row r="1303" spans="1:10" x14ac:dyDescent="0.25">
      <c r="A1303" t="s">
        <v>759</v>
      </c>
      <c r="B1303" t="s">
        <v>331</v>
      </c>
      <c r="C1303" t="s">
        <v>769</v>
      </c>
      <c r="D1303">
        <v>749032</v>
      </c>
      <c r="E1303" t="s">
        <v>18</v>
      </c>
      <c r="F1303">
        <v>9.1207899999999995</v>
      </c>
      <c r="G1303">
        <v>-79.778869999999998</v>
      </c>
      <c r="H1303">
        <v>-5</v>
      </c>
      <c r="I1303">
        <v>28</v>
      </c>
      <c r="J1303" t="str">
        <f>HYPERLINK("https://climate.onebuilding.org/WMO_Region_4_North_and_Central_America/PAN_Panama/PAN_CL_Lake.Gatun.749032_TMYx.2007-2021.zip")</f>
        <v>https://climate.onebuilding.org/WMO_Region_4_North_and_Central_America/PAN_Panama/PAN_CL_Lake.Gatun.749032_TMYx.2007-2021.zip</v>
      </c>
    </row>
    <row r="1304" spans="1:10" x14ac:dyDescent="0.25">
      <c r="A1304" t="s">
        <v>759</v>
      </c>
      <c r="B1304" t="s">
        <v>331</v>
      </c>
      <c r="C1304" t="s">
        <v>769</v>
      </c>
      <c r="D1304">
        <v>749032</v>
      </c>
      <c r="E1304" t="s">
        <v>18</v>
      </c>
      <c r="F1304">
        <v>9.1207899999999995</v>
      </c>
      <c r="G1304">
        <v>-79.778869999999998</v>
      </c>
      <c r="H1304">
        <v>-5</v>
      </c>
      <c r="I1304">
        <v>28</v>
      </c>
      <c r="J1304" t="str">
        <f>HYPERLINK("https://climate.onebuilding.org/WMO_Region_4_North_and_Central_America/PAN_Panama/PAN_CL_Lake.Gatun.749032_TMYx.2009-2023.zip")</f>
        <v>https://climate.onebuilding.org/WMO_Region_4_North_and_Central_America/PAN_Panama/PAN_CL_Lake.Gatun.749032_TMYx.2009-2023.zip</v>
      </c>
    </row>
    <row r="1305" spans="1:10" x14ac:dyDescent="0.25">
      <c r="A1305" t="s">
        <v>759</v>
      </c>
      <c r="B1305" t="s">
        <v>331</v>
      </c>
      <c r="C1305" t="s">
        <v>769</v>
      </c>
      <c r="D1305">
        <v>749032</v>
      </c>
      <c r="E1305" t="s">
        <v>18</v>
      </c>
      <c r="F1305">
        <v>9.1207899999999995</v>
      </c>
      <c r="G1305">
        <v>-79.778869999999998</v>
      </c>
      <c r="H1305">
        <v>-5</v>
      </c>
      <c r="I1305">
        <v>28</v>
      </c>
      <c r="J1305" t="str">
        <f>HYPERLINK("https://climate.onebuilding.org/WMO_Region_4_North_and_Central_America/PAN_Panama/PAN_CL_Lake.Gatun.749032_TMYx.zip")</f>
        <v>https://climate.onebuilding.org/WMO_Region_4_North_and_Central_America/PAN_Panama/PAN_CL_Lake.Gatun.749032_TMYx.zip</v>
      </c>
    </row>
    <row r="1306" spans="1:10" x14ac:dyDescent="0.25">
      <c r="A1306" t="s">
        <v>759</v>
      </c>
      <c r="B1306" t="s">
        <v>770</v>
      </c>
      <c r="C1306" t="s">
        <v>771</v>
      </c>
      <c r="D1306">
        <v>749034</v>
      </c>
      <c r="E1306" t="s">
        <v>18</v>
      </c>
      <c r="F1306">
        <v>7.7329999999999997</v>
      </c>
      <c r="G1306">
        <v>-80.132999999999996</v>
      </c>
      <c r="H1306">
        <v>-5</v>
      </c>
      <c r="I1306">
        <v>14</v>
      </c>
      <c r="J1306" t="str">
        <f>HYPERLINK("https://climate.onebuilding.org/WMO_Region_4_North_and_Central_America/PAN_Panama/PAN_LS_Pocri-La.Candelaria.AP.749034_TMYx.2007-2021.zip")</f>
        <v>https://climate.onebuilding.org/WMO_Region_4_North_and_Central_America/PAN_Panama/PAN_LS_Pocri-La.Candelaria.AP.749034_TMYx.2007-2021.zip</v>
      </c>
    </row>
    <row r="1307" spans="1:10" x14ac:dyDescent="0.25">
      <c r="A1307" t="s">
        <v>759</v>
      </c>
      <c r="B1307" t="s">
        <v>770</v>
      </c>
      <c r="C1307" t="s">
        <v>771</v>
      </c>
      <c r="D1307">
        <v>749034</v>
      </c>
      <c r="E1307" t="s">
        <v>18</v>
      </c>
      <c r="F1307">
        <v>7.7329999999999997</v>
      </c>
      <c r="G1307">
        <v>-80.132999999999996</v>
      </c>
      <c r="H1307">
        <v>-5</v>
      </c>
      <c r="I1307">
        <v>14</v>
      </c>
      <c r="J1307" t="str">
        <f>HYPERLINK("https://climate.onebuilding.org/WMO_Region_4_North_and_Central_America/PAN_Panama/PAN_LS_Pocri-La.Candelaria.AP.749034_TMYx.2009-2023.zip")</f>
        <v>https://climate.onebuilding.org/WMO_Region_4_North_and_Central_America/PAN_Panama/PAN_LS_Pocri-La.Candelaria.AP.749034_TMYx.2009-2023.zip</v>
      </c>
    </row>
    <row r="1308" spans="1:10" x14ac:dyDescent="0.25">
      <c r="A1308" t="s">
        <v>759</v>
      </c>
      <c r="B1308" t="s">
        <v>770</v>
      </c>
      <c r="C1308" t="s">
        <v>771</v>
      </c>
      <c r="D1308">
        <v>749034</v>
      </c>
      <c r="E1308" t="s">
        <v>18</v>
      </c>
      <c r="F1308">
        <v>7.7329999999999997</v>
      </c>
      <c r="G1308">
        <v>-80.132999999999996</v>
      </c>
      <c r="H1308">
        <v>-5</v>
      </c>
      <c r="I1308">
        <v>14</v>
      </c>
      <c r="J1308" t="str">
        <f>HYPERLINK("https://climate.onebuilding.org/WMO_Region_4_North_and_Central_America/PAN_Panama/PAN_LS_Pocri-La.Candelaria.AP.749034_TMYx.zip")</f>
        <v>https://climate.onebuilding.org/WMO_Region_4_North_and_Central_America/PAN_Panama/PAN_LS_Pocri-La.Candelaria.AP.749034_TMYx.zip</v>
      </c>
    </row>
    <row r="1309" spans="1:10" x14ac:dyDescent="0.25">
      <c r="A1309" t="s">
        <v>759</v>
      </c>
      <c r="B1309" t="s">
        <v>95</v>
      </c>
      <c r="C1309" t="s">
        <v>772</v>
      </c>
      <c r="D1309">
        <v>749035</v>
      </c>
      <c r="E1309" t="s">
        <v>18</v>
      </c>
      <c r="F1309">
        <v>8.25</v>
      </c>
      <c r="G1309">
        <v>-80.566999999999993</v>
      </c>
      <c r="H1309">
        <v>-5</v>
      </c>
      <c r="I1309">
        <v>46</v>
      </c>
      <c r="J1309" t="str">
        <f>HYPERLINK("https://climate.onebuilding.org/WMO_Region_4_North_and_Central_America/PAN_Panama/PAN_CC_Aguadulce.AP.749035_TMYx.2007-2021.zip")</f>
        <v>https://climate.onebuilding.org/WMO_Region_4_North_and_Central_America/PAN_Panama/PAN_CC_Aguadulce.AP.749035_TMYx.2007-2021.zip</v>
      </c>
    </row>
    <row r="1310" spans="1:10" x14ac:dyDescent="0.25">
      <c r="A1310" t="s">
        <v>759</v>
      </c>
      <c r="B1310" t="s">
        <v>95</v>
      </c>
      <c r="C1310" t="s">
        <v>772</v>
      </c>
      <c r="D1310">
        <v>749035</v>
      </c>
      <c r="E1310" t="s">
        <v>18</v>
      </c>
      <c r="F1310">
        <v>8.25</v>
      </c>
      <c r="G1310">
        <v>-80.566999999999993</v>
      </c>
      <c r="H1310">
        <v>-5</v>
      </c>
      <c r="I1310">
        <v>46</v>
      </c>
      <c r="J1310" t="str">
        <f>HYPERLINK("https://climate.onebuilding.org/WMO_Region_4_North_and_Central_America/PAN_Panama/PAN_CC_Aguadulce.AP.749035_TMYx.2009-2023.zip")</f>
        <v>https://climate.onebuilding.org/WMO_Region_4_North_and_Central_America/PAN_Panama/PAN_CC_Aguadulce.AP.749035_TMYx.2009-2023.zip</v>
      </c>
    </row>
    <row r="1311" spans="1:10" x14ac:dyDescent="0.25">
      <c r="A1311" t="s">
        <v>759</v>
      </c>
      <c r="B1311" t="s">
        <v>95</v>
      </c>
      <c r="C1311" t="s">
        <v>772</v>
      </c>
      <c r="D1311">
        <v>749035</v>
      </c>
      <c r="E1311" t="s">
        <v>18</v>
      </c>
      <c r="F1311">
        <v>8.25</v>
      </c>
      <c r="G1311">
        <v>-80.566999999999993</v>
      </c>
      <c r="H1311">
        <v>-5</v>
      </c>
      <c r="I1311">
        <v>46</v>
      </c>
      <c r="J1311" t="str">
        <f>HYPERLINK("https://climate.onebuilding.org/WMO_Region_4_North_and_Central_America/PAN_Panama/PAN_CC_Aguadulce.AP.749035_TMYx.zip")</f>
        <v>https://climate.onebuilding.org/WMO_Region_4_North_and_Central_America/PAN_Panama/PAN_CC_Aguadulce.AP.749035_TMYx.zip</v>
      </c>
    </row>
    <row r="1312" spans="1:10" x14ac:dyDescent="0.25">
      <c r="A1312" t="s">
        <v>759</v>
      </c>
      <c r="B1312" t="s">
        <v>760</v>
      </c>
      <c r="C1312" t="s">
        <v>773</v>
      </c>
      <c r="D1312">
        <v>783842</v>
      </c>
      <c r="E1312" t="s">
        <v>774</v>
      </c>
      <c r="F1312">
        <v>8.9670000000000005</v>
      </c>
      <c r="G1312">
        <v>-79.55</v>
      </c>
      <c r="H1312">
        <v>-5</v>
      </c>
      <c r="I1312">
        <v>10</v>
      </c>
      <c r="J1312" t="str">
        <f>HYPERLINK("https://climate.onebuilding.org/WMO_Region_4_North_and_Central_America/PAN_Panama/PAN_PO_Panama-Albrook.Gelabert.Intl.AP.783842_TMYx.2004-2018.zip")</f>
        <v>https://climate.onebuilding.org/WMO_Region_4_North_and_Central_America/PAN_Panama/PAN_PO_Panama-Albrook.Gelabert.Intl.AP.783842_TMYx.2004-2018.zip</v>
      </c>
    </row>
    <row r="1313" spans="1:10" x14ac:dyDescent="0.25">
      <c r="A1313" t="s">
        <v>759</v>
      </c>
      <c r="B1313" t="s">
        <v>760</v>
      </c>
      <c r="C1313" t="s">
        <v>773</v>
      </c>
      <c r="D1313">
        <v>783842</v>
      </c>
      <c r="E1313" t="s">
        <v>10</v>
      </c>
      <c r="F1313">
        <v>8.9670000000000005</v>
      </c>
      <c r="G1313">
        <v>-79.55</v>
      </c>
      <c r="H1313">
        <v>-5</v>
      </c>
      <c r="I1313">
        <v>10</v>
      </c>
      <c r="J1313" t="str">
        <f>HYPERLINK("https://climate.onebuilding.org/WMO_Region_4_North_and_Central_America/PAN_Panama/PAN_PO_Panama-Albrook.Gelabert.Intl.AP.783842_TMYx.2007-2021.zip")</f>
        <v>https://climate.onebuilding.org/WMO_Region_4_North_and_Central_America/PAN_Panama/PAN_PO_Panama-Albrook.Gelabert.Intl.AP.783842_TMYx.2007-2021.zip</v>
      </c>
    </row>
    <row r="1314" spans="1:10" x14ac:dyDescent="0.25">
      <c r="A1314" t="s">
        <v>759</v>
      </c>
      <c r="B1314" t="s">
        <v>760</v>
      </c>
      <c r="C1314" t="s">
        <v>773</v>
      </c>
      <c r="D1314">
        <v>783842</v>
      </c>
      <c r="E1314" t="s">
        <v>10</v>
      </c>
      <c r="F1314">
        <v>8.9670000000000005</v>
      </c>
      <c r="G1314">
        <v>-79.55</v>
      </c>
      <c r="H1314">
        <v>-5</v>
      </c>
      <c r="I1314">
        <v>10</v>
      </c>
      <c r="J1314" t="str">
        <f>HYPERLINK("https://climate.onebuilding.org/WMO_Region_4_North_and_Central_America/PAN_Panama/PAN_PO_Panama-Albrook.Gelabert.Intl.AP.783842_TMYx.2009-2023.zip")</f>
        <v>https://climate.onebuilding.org/WMO_Region_4_North_and_Central_America/PAN_Panama/PAN_PO_Panama-Albrook.Gelabert.Intl.AP.783842_TMYx.2009-2023.zip</v>
      </c>
    </row>
    <row r="1315" spans="1:10" x14ac:dyDescent="0.25">
      <c r="A1315" t="s">
        <v>759</v>
      </c>
      <c r="B1315" t="s">
        <v>760</v>
      </c>
      <c r="C1315" t="s">
        <v>773</v>
      </c>
      <c r="D1315">
        <v>783842</v>
      </c>
      <c r="E1315" t="s">
        <v>10</v>
      </c>
      <c r="F1315">
        <v>8.9670000000000005</v>
      </c>
      <c r="G1315">
        <v>-79.55</v>
      </c>
      <c r="H1315">
        <v>-5</v>
      </c>
      <c r="I1315">
        <v>10</v>
      </c>
      <c r="J1315" t="str">
        <f>HYPERLINK("https://climate.onebuilding.org/WMO_Region_4_North_and_Central_America/PAN_Panama/PAN_PO_Panama-Albrook.Gelabert.Intl.AP.783842_TMYx.zip")</f>
        <v>https://climate.onebuilding.org/WMO_Region_4_North_and_Central_America/PAN_Panama/PAN_PO_Panama-Albrook.Gelabert.Intl.AP.783842_TMYx.zip</v>
      </c>
    </row>
    <row r="1316" spans="1:10" x14ac:dyDescent="0.25">
      <c r="A1316" t="s">
        <v>759</v>
      </c>
      <c r="B1316" t="s">
        <v>331</v>
      </c>
      <c r="C1316" t="s">
        <v>775</v>
      </c>
      <c r="D1316">
        <v>787830</v>
      </c>
      <c r="E1316" t="s">
        <v>10</v>
      </c>
      <c r="F1316">
        <v>9.3569999999999993</v>
      </c>
      <c r="G1316">
        <v>-79.867000000000004</v>
      </c>
      <c r="H1316">
        <v>-5</v>
      </c>
      <c r="I1316">
        <v>7.6</v>
      </c>
      <c r="J1316" t="str">
        <f>HYPERLINK("https://climate.onebuilding.org/WMO_Region_4_North_and_Central_America/PAN_Panama/PAN_CL_Colon-Jimenez.Intl.AP.787830_TMYx.2007-2021.zip")</f>
        <v>https://climate.onebuilding.org/WMO_Region_4_North_and_Central_America/PAN_Panama/PAN_CL_Colon-Jimenez.Intl.AP.787830_TMYx.2007-2021.zip</v>
      </c>
    </row>
    <row r="1317" spans="1:10" x14ac:dyDescent="0.25">
      <c r="A1317" t="s">
        <v>759</v>
      </c>
      <c r="B1317" t="s">
        <v>331</v>
      </c>
      <c r="C1317" t="s">
        <v>775</v>
      </c>
      <c r="D1317">
        <v>787830</v>
      </c>
      <c r="E1317" t="s">
        <v>10</v>
      </c>
      <c r="F1317">
        <v>9.3569999999999993</v>
      </c>
      <c r="G1317">
        <v>-79.867000000000004</v>
      </c>
      <c r="H1317">
        <v>-5</v>
      </c>
      <c r="I1317">
        <v>7.6</v>
      </c>
      <c r="J1317" t="str">
        <f>HYPERLINK("https://climate.onebuilding.org/WMO_Region_4_North_and_Central_America/PAN_Panama/PAN_CL_Colon-Jimenez.Intl.AP.787830_TMYx.2009-2023.zip")</f>
        <v>https://climate.onebuilding.org/WMO_Region_4_North_and_Central_America/PAN_Panama/PAN_CL_Colon-Jimenez.Intl.AP.787830_TMYx.2009-2023.zip</v>
      </c>
    </row>
    <row r="1318" spans="1:10" x14ac:dyDescent="0.25">
      <c r="A1318" t="s">
        <v>759</v>
      </c>
      <c r="B1318" t="s">
        <v>331</v>
      </c>
      <c r="C1318" t="s">
        <v>775</v>
      </c>
      <c r="D1318">
        <v>787830</v>
      </c>
      <c r="E1318" t="s">
        <v>10</v>
      </c>
      <c r="F1318">
        <v>9.3569999999999993</v>
      </c>
      <c r="G1318">
        <v>-79.867000000000004</v>
      </c>
      <c r="H1318">
        <v>-5</v>
      </c>
      <c r="I1318">
        <v>7.6</v>
      </c>
      <c r="J1318" t="str">
        <f>HYPERLINK("https://climate.onebuilding.org/WMO_Region_4_North_and_Central_America/PAN_Panama/PAN_CL_Colon-Jimenez.Intl.AP.787830_TMYx.zip")</f>
        <v>https://climate.onebuilding.org/WMO_Region_4_North_and_Central_America/PAN_Panama/PAN_CL_Colon-Jimenez.Intl.AP.787830_TMYx.zip</v>
      </c>
    </row>
    <row r="1319" spans="1:10" x14ac:dyDescent="0.25">
      <c r="A1319" t="s">
        <v>759</v>
      </c>
      <c r="B1319" t="s">
        <v>770</v>
      </c>
      <c r="C1319" t="s">
        <v>776</v>
      </c>
      <c r="D1319">
        <v>787834</v>
      </c>
      <c r="E1319" t="s">
        <v>18</v>
      </c>
      <c r="F1319">
        <v>7.8569599999999999</v>
      </c>
      <c r="G1319">
        <v>-80.275949999999995</v>
      </c>
      <c r="H1319">
        <v>-5</v>
      </c>
      <c r="I1319">
        <v>21</v>
      </c>
      <c r="J1319" t="str">
        <f>HYPERLINK("https://climate.onebuilding.org/WMO_Region_4_North_and_Central_America/PAN_Panama/PAN_LS_La.Enea-Vergara.AP.787834_TMYx.2007-2021.zip")</f>
        <v>https://climate.onebuilding.org/WMO_Region_4_North_and_Central_America/PAN_Panama/PAN_LS_La.Enea-Vergara.AP.787834_TMYx.2007-2021.zip</v>
      </c>
    </row>
    <row r="1320" spans="1:10" x14ac:dyDescent="0.25">
      <c r="A1320" t="s">
        <v>759</v>
      </c>
      <c r="B1320" t="s">
        <v>770</v>
      </c>
      <c r="C1320" t="s">
        <v>776</v>
      </c>
      <c r="D1320">
        <v>787834</v>
      </c>
      <c r="E1320" t="s">
        <v>18</v>
      </c>
      <c r="F1320">
        <v>7.8569599999999999</v>
      </c>
      <c r="G1320">
        <v>-80.275949999999995</v>
      </c>
      <c r="H1320">
        <v>-5</v>
      </c>
      <c r="I1320">
        <v>21</v>
      </c>
      <c r="J1320" t="str">
        <f>HYPERLINK("https://climate.onebuilding.org/WMO_Region_4_North_and_Central_America/PAN_Panama/PAN_LS_La.Enea-Vergara.AP.787834_TMYx.2009-2023.zip")</f>
        <v>https://climate.onebuilding.org/WMO_Region_4_North_and_Central_America/PAN_Panama/PAN_LS_La.Enea-Vergara.AP.787834_TMYx.2009-2023.zip</v>
      </c>
    </row>
    <row r="1321" spans="1:10" x14ac:dyDescent="0.25">
      <c r="A1321" t="s">
        <v>759</v>
      </c>
      <c r="B1321" t="s">
        <v>770</v>
      </c>
      <c r="C1321" t="s">
        <v>776</v>
      </c>
      <c r="D1321">
        <v>787834</v>
      </c>
      <c r="E1321" t="s">
        <v>18</v>
      </c>
      <c r="F1321">
        <v>7.8569599999999999</v>
      </c>
      <c r="G1321">
        <v>-80.275949999999995</v>
      </c>
      <c r="H1321">
        <v>-5</v>
      </c>
      <c r="I1321">
        <v>21</v>
      </c>
      <c r="J1321" t="str">
        <f>HYPERLINK("https://climate.onebuilding.org/WMO_Region_4_North_and_Central_America/PAN_Panama/PAN_LS_La.Enea-Vergara.AP.787834_TMYx.zip")</f>
        <v>https://climate.onebuilding.org/WMO_Region_4_North_and_Central_America/PAN_Panama/PAN_LS_La.Enea-Vergara.AP.787834_TMYx.zip</v>
      </c>
    </row>
    <row r="1322" spans="1:10" x14ac:dyDescent="0.25">
      <c r="A1322" t="s">
        <v>759</v>
      </c>
      <c r="B1322" t="s">
        <v>76</v>
      </c>
      <c r="C1322" t="s">
        <v>777</v>
      </c>
      <c r="D1322">
        <v>787880</v>
      </c>
      <c r="E1322" t="s">
        <v>18</v>
      </c>
      <c r="F1322">
        <v>9.5586800000000007</v>
      </c>
      <c r="G1322">
        <v>-78.948570000000004</v>
      </c>
      <c r="H1322">
        <v>-5</v>
      </c>
      <c r="I1322">
        <v>2</v>
      </c>
      <c r="J1322" t="str">
        <f>HYPERLINK("https://climate.onebuilding.org/WMO_Region_4_North_and_Central_America/PAN_Panama/PAN_SB_El.Porvenir.AP.787880_TMYx.2007-2021.zip")</f>
        <v>https://climate.onebuilding.org/WMO_Region_4_North_and_Central_America/PAN_Panama/PAN_SB_El.Porvenir.AP.787880_TMYx.2007-2021.zip</v>
      </c>
    </row>
    <row r="1323" spans="1:10" x14ac:dyDescent="0.25">
      <c r="A1323" t="s">
        <v>759</v>
      </c>
      <c r="B1323" t="s">
        <v>76</v>
      </c>
      <c r="C1323" t="s">
        <v>777</v>
      </c>
      <c r="D1323">
        <v>787880</v>
      </c>
      <c r="E1323" t="s">
        <v>18</v>
      </c>
      <c r="F1323">
        <v>9.5586800000000007</v>
      </c>
      <c r="G1323">
        <v>-78.948570000000004</v>
      </c>
      <c r="H1323">
        <v>-5</v>
      </c>
      <c r="I1323">
        <v>2</v>
      </c>
      <c r="J1323" t="str">
        <f>HYPERLINK("https://climate.onebuilding.org/WMO_Region_4_North_and_Central_America/PAN_Panama/PAN_SB_El.Porvenir.AP.787880_TMYx.2009-2023.zip")</f>
        <v>https://climate.onebuilding.org/WMO_Region_4_North_and_Central_America/PAN_Panama/PAN_SB_El.Porvenir.AP.787880_TMYx.2009-2023.zip</v>
      </c>
    </row>
    <row r="1324" spans="1:10" x14ac:dyDescent="0.25">
      <c r="A1324" t="s">
        <v>759</v>
      </c>
      <c r="B1324" t="s">
        <v>76</v>
      </c>
      <c r="C1324" t="s">
        <v>777</v>
      </c>
      <c r="D1324">
        <v>787880</v>
      </c>
      <c r="E1324" t="s">
        <v>18</v>
      </c>
      <c r="F1324">
        <v>9.5586800000000007</v>
      </c>
      <c r="G1324">
        <v>-78.948570000000004</v>
      </c>
      <c r="H1324">
        <v>-5</v>
      </c>
      <c r="I1324">
        <v>2</v>
      </c>
      <c r="J1324" t="str">
        <f>HYPERLINK("https://climate.onebuilding.org/WMO_Region_4_North_and_Central_America/PAN_Panama/PAN_SB_El.Porvenir.AP.787880_TMYx.zip")</f>
        <v>https://climate.onebuilding.org/WMO_Region_4_North_and_Central_America/PAN_Panama/PAN_SB_El.Porvenir.AP.787880_TMYx.zip</v>
      </c>
    </row>
    <row r="1325" spans="1:10" x14ac:dyDescent="0.25">
      <c r="A1325" t="s">
        <v>759</v>
      </c>
      <c r="B1325" t="s">
        <v>76</v>
      </c>
      <c r="C1325" t="s">
        <v>778</v>
      </c>
      <c r="D1325">
        <v>787885</v>
      </c>
      <c r="E1325" t="s">
        <v>18</v>
      </c>
      <c r="F1325">
        <v>8.6669999999999998</v>
      </c>
      <c r="G1325">
        <v>-77.417000000000002</v>
      </c>
      <c r="H1325">
        <v>-5</v>
      </c>
      <c r="I1325">
        <v>1</v>
      </c>
      <c r="J1325" t="str">
        <f>HYPERLINK("https://climate.onebuilding.org/WMO_Region_4_North_and_Central_America/PAN_Panama/PAN_SB_Puerto.Obaldia.AP.787885_TMYx.2007-2021.zip")</f>
        <v>https://climate.onebuilding.org/WMO_Region_4_North_and_Central_America/PAN_Panama/PAN_SB_Puerto.Obaldia.AP.787885_TMYx.2007-2021.zip</v>
      </c>
    </row>
    <row r="1326" spans="1:10" x14ac:dyDescent="0.25">
      <c r="A1326" t="s">
        <v>759</v>
      </c>
      <c r="B1326" t="s">
        <v>76</v>
      </c>
      <c r="C1326" t="s">
        <v>778</v>
      </c>
      <c r="D1326">
        <v>787885</v>
      </c>
      <c r="E1326" t="s">
        <v>18</v>
      </c>
      <c r="F1326">
        <v>8.6669999999999998</v>
      </c>
      <c r="G1326">
        <v>-77.417000000000002</v>
      </c>
      <c r="H1326">
        <v>-5</v>
      </c>
      <c r="I1326">
        <v>1</v>
      </c>
      <c r="J1326" t="str">
        <f>HYPERLINK("https://climate.onebuilding.org/WMO_Region_4_North_and_Central_America/PAN_Panama/PAN_SB_Puerto.Obaldia.AP.787885_TMYx.2009-2023.zip")</f>
        <v>https://climate.onebuilding.org/WMO_Region_4_North_and_Central_America/PAN_Panama/PAN_SB_Puerto.Obaldia.AP.787885_TMYx.2009-2023.zip</v>
      </c>
    </row>
    <row r="1327" spans="1:10" x14ac:dyDescent="0.25">
      <c r="A1327" t="s">
        <v>759</v>
      </c>
      <c r="B1327" t="s">
        <v>76</v>
      </c>
      <c r="C1327" t="s">
        <v>778</v>
      </c>
      <c r="D1327">
        <v>787885</v>
      </c>
      <c r="E1327" t="s">
        <v>18</v>
      </c>
      <c r="F1327">
        <v>8.6669999999999998</v>
      </c>
      <c r="G1327">
        <v>-77.417000000000002</v>
      </c>
      <c r="H1327">
        <v>-5</v>
      </c>
      <c r="I1327">
        <v>1</v>
      </c>
      <c r="J1327" t="str">
        <f>HYPERLINK("https://climate.onebuilding.org/WMO_Region_4_North_and_Central_America/PAN_Panama/PAN_SB_Puerto.Obaldia.AP.787885_TMYx.zip")</f>
        <v>https://climate.onebuilding.org/WMO_Region_4_North_and_Central_America/PAN_Panama/PAN_SB_Puerto.Obaldia.AP.787885_TMYx.zip</v>
      </c>
    </row>
    <row r="1328" spans="1:10" x14ac:dyDescent="0.25">
      <c r="A1328" t="s">
        <v>759</v>
      </c>
      <c r="B1328" t="s">
        <v>762</v>
      </c>
      <c r="C1328" t="s">
        <v>779</v>
      </c>
      <c r="D1328">
        <v>787920</v>
      </c>
      <c r="E1328" t="s">
        <v>780</v>
      </c>
      <c r="F1328">
        <v>9.0709999999999997</v>
      </c>
      <c r="G1328">
        <v>-79.382999999999996</v>
      </c>
      <c r="H1328">
        <v>-5</v>
      </c>
      <c r="I1328">
        <v>41.1</v>
      </c>
      <c r="J1328" t="str">
        <f>HYPERLINK("https://climate.onebuilding.org/WMO_Region_4_North_and_Central_America/PAN_Panama/PAN_PM_Tocumen.Intl.AP.787920_TMYx.2004-2018.zip")</f>
        <v>https://climate.onebuilding.org/WMO_Region_4_North_and_Central_America/PAN_Panama/PAN_PM_Tocumen.Intl.AP.787920_TMYx.2004-2018.zip</v>
      </c>
    </row>
    <row r="1329" spans="1:10" x14ac:dyDescent="0.25">
      <c r="A1329" t="s">
        <v>759</v>
      </c>
      <c r="B1329" t="s">
        <v>762</v>
      </c>
      <c r="C1329" t="s">
        <v>779</v>
      </c>
      <c r="D1329">
        <v>787920</v>
      </c>
      <c r="E1329" t="s">
        <v>10</v>
      </c>
      <c r="F1329">
        <v>9.0709999999999997</v>
      </c>
      <c r="G1329">
        <v>-79.382999999999996</v>
      </c>
      <c r="H1329">
        <v>-5</v>
      </c>
      <c r="I1329">
        <v>41.1</v>
      </c>
      <c r="J1329" t="str">
        <f>HYPERLINK("https://climate.onebuilding.org/WMO_Region_4_North_and_Central_America/PAN_Panama/PAN_PM_Tocumen.Intl.AP.787920_TMYx.2007-2021.zip")</f>
        <v>https://climate.onebuilding.org/WMO_Region_4_North_and_Central_America/PAN_Panama/PAN_PM_Tocumen.Intl.AP.787920_TMYx.2007-2021.zip</v>
      </c>
    </row>
    <row r="1330" spans="1:10" x14ac:dyDescent="0.25">
      <c r="A1330" t="s">
        <v>759</v>
      </c>
      <c r="B1330" t="s">
        <v>762</v>
      </c>
      <c r="C1330" t="s">
        <v>779</v>
      </c>
      <c r="D1330">
        <v>787920</v>
      </c>
      <c r="E1330" t="s">
        <v>10</v>
      </c>
      <c r="F1330">
        <v>9.0709999999999997</v>
      </c>
      <c r="G1330">
        <v>-79.382999999999996</v>
      </c>
      <c r="H1330">
        <v>-5</v>
      </c>
      <c r="I1330">
        <v>41.1</v>
      </c>
      <c r="J1330" t="str">
        <f>HYPERLINK("https://climate.onebuilding.org/WMO_Region_4_North_and_Central_America/PAN_Panama/PAN_PM_Tocumen.Intl.AP.787920_TMYx.2009-2023.zip")</f>
        <v>https://climate.onebuilding.org/WMO_Region_4_North_and_Central_America/PAN_Panama/PAN_PM_Tocumen.Intl.AP.787920_TMYx.2009-2023.zip</v>
      </c>
    </row>
    <row r="1331" spans="1:10" x14ac:dyDescent="0.25">
      <c r="A1331" t="s">
        <v>759</v>
      </c>
      <c r="B1331" t="s">
        <v>762</v>
      </c>
      <c r="C1331" t="s">
        <v>779</v>
      </c>
      <c r="D1331">
        <v>787920</v>
      </c>
      <c r="E1331" t="s">
        <v>10</v>
      </c>
      <c r="F1331">
        <v>9.0709999999999997</v>
      </c>
      <c r="G1331">
        <v>-79.382999999999996</v>
      </c>
      <c r="H1331">
        <v>-5</v>
      </c>
      <c r="I1331">
        <v>41.1</v>
      </c>
      <c r="J1331" t="str">
        <f>HYPERLINK("https://climate.onebuilding.org/WMO_Region_4_North_and_Central_America/PAN_Panama/PAN_PM_Tocumen.Intl.AP.787920_TMYx.zip")</f>
        <v>https://climate.onebuilding.org/WMO_Region_4_North_and_Central_America/PAN_Panama/PAN_PM_Tocumen.Intl.AP.787920_TMYx.zip</v>
      </c>
    </row>
    <row r="1332" spans="1:10" x14ac:dyDescent="0.25">
      <c r="A1332" t="s">
        <v>759</v>
      </c>
      <c r="B1332" t="s">
        <v>122</v>
      </c>
      <c r="C1332" t="s">
        <v>781</v>
      </c>
      <c r="D1332">
        <v>787930</v>
      </c>
      <c r="E1332" t="s">
        <v>782</v>
      </c>
      <c r="F1332">
        <v>8.391</v>
      </c>
      <c r="G1332">
        <v>-82.435000000000002</v>
      </c>
      <c r="H1332">
        <v>-5</v>
      </c>
      <c r="I1332">
        <v>27.1</v>
      </c>
      <c r="J1332" t="str">
        <f>HYPERLINK("https://climate.onebuilding.org/WMO_Region_4_North_and_Central_America/PAN_Panama/PAN_CH_David-Malek.Intl.AP.787930_TMYx.2004-2018.zip")</f>
        <v>https://climate.onebuilding.org/WMO_Region_4_North_and_Central_America/PAN_Panama/PAN_CH_David-Malek.Intl.AP.787930_TMYx.2004-2018.zip</v>
      </c>
    </row>
    <row r="1333" spans="1:10" x14ac:dyDescent="0.25">
      <c r="A1333" t="s">
        <v>759</v>
      </c>
      <c r="B1333" t="s">
        <v>122</v>
      </c>
      <c r="C1333" t="s">
        <v>781</v>
      </c>
      <c r="D1333">
        <v>787930</v>
      </c>
      <c r="E1333" t="s">
        <v>10</v>
      </c>
      <c r="F1333">
        <v>8.391</v>
      </c>
      <c r="G1333">
        <v>-82.435000000000002</v>
      </c>
      <c r="H1333">
        <v>-5</v>
      </c>
      <c r="I1333">
        <v>27.1</v>
      </c>
      <c r="J1333" t="str">
        <f>HYPERLINK("https://climate.onebuilding.org/WMO_Region_4_North_and_Central_America/PAN_Panama/PAN_CH_David-Malek.Intl.AP.787930_TMYx.2007-2021.zip")</f>
        <v>https://climate.onebuilding.org/WMO_Region_4_North_and_Central_America/PAN_Panama/PAN_CH_David-Malek.Intl.AP.787930_TMYx.2007-2021.zip</v>
      </c>
    </row>
    <row r="1334" spans="1:10" x14ac:dyDescent="0.25">
      <c r="A1334" t="s">
        <v>759</v>
      </c>
      <c r="B1334" t="s">
        <v>122</v>
      </c>
      <c r="C1334" t="s">
        <v>781</v>
      </c>
      <c r="D1334">
        <v>787930</v>
      </c>
      <c r="E1334" t="s">
        <v>10</v>
      </c>
      <c r="F1334">
        <v>8.391</v>
      </c>
      <c r="G1334">
        <v>-82.435000000000002</v>
      </c>
      <c r="H1334">
        <v>-5</v>
      </c>
      <c r="I1334">
        <v>27.1</v>
      </c>
      <c r="J1334" t="str">
        <f>HYPERLINK("https://climate.onebuilding.org/WMO_Region_4_North_and_Central_America/PAN_Panama/PAN_CH_David-Malek.Intl.AP.787930_TMYx.2009-2023.zip")</f>
        <v>https://climate.onebuilding.org/WMO_Region_4_North_and_Central_America/PAN_Panama/PAN_CH_David-Malek.Intl.AP.787930_TMYx.2009-2023.zip</v>
      </c>
    </row>
    <row r="1335" spans="1:10" x14ac:dyDescent="0.25">
      <c r="A1335" t="s">
        <v>759</v>
      </c>
      <c r="B1335" t="s">
        <v>122</v>
      </c>
      <c r="C1335" t="s">
        <v>781</v>
      </c>
      <c r="D1335">
        <v>787930</v>
      </c>
      <c r="E1335" t="s">
        <v>10</v>
      </c>
      <c r="F1335">
        <v>8.391</v>
      </c>
      <c r="G1335">
        <v>-82.435000000000002</v>
      </c>
      <c r="H1335">
        <v>-5</v>
      </c>
      <c r="I1335">
        <v>27.1</v>
      </c>
      <c r="J1335" t="str">
        <f>HYPERLINK("https://climate.onebuilding.org/WMO_Region_4_North_and_Central_America/PAN_Panama/PAN_CH_David-Malek.Intl.AP.787930_TMYx.zip")</f>
        <v>https://climate.onebuilding.org/WMO_Region_4_North_and_Central_America/PAN_Panama/PAN_CH_David-Malek.Intl.AP.787930_TMYx.zip</v>
      </c>
    </row>
    <row r="1336" spans="1:10" x14ac:dyDescent="0.25">
      <c r="A1336" t="s">
        <v>759</v>
      </c>
      <c r="B1336" t="s">
        <v>783</v>
      </c>
      <c r="C1336" t="s">
        <v>784</v>
      </c>
      <c r="D1336">
        <v>787935</v>
      </c>
      <c r="E1336" t="s">
        <v>785</v>
      </c>
      <c r="F1336">
        <v>9.3409999999999993</v>
      </c>
      <c r="G1336">
        <v>-82.251000000000005</v>
      </c>
      <c r="H1336">
        <v>-5</v>
      </c>
      <c r="I1336">
        <v>3</v>
      </c>
      <c r="J1336" t="str">
        <f>HYPERLINK("https://climate.onebuilding.org/WMO_Region_4_North_and_Central_America/PAN_Panama/PAN_BC_Bocas.Del.Toro-Isla.Colon.Intl.AP.787935_TMYx.2004-2018.zip")</f>
        <v>https://climate.onebuilding.org/WMO_Region_4_North_and_Central_America/PAN_Panama/PAN_BC_Bocas.Del.Toro-Isla.Colon.Intl.AP.787935_TMYx.2004-2018.zip</v>
      </c>
    </row>
    <row r="1337" spans="1:10" x14ac:dyDescent="0.25">
      <c r="A1337" t="s">
        <v>759</v>
      </c>
      <c r="B1337" t="s">
        <v>783</v>
      </c>
      <c r="C1337" t="s">
        <v>784</v>
      </c>
      <c r="D1337">
        <v>787935</v>
      </c>
      <c r="E1337" t="s">
        <v>10</v>
      </c>
      <c r="F1337">
        <v>9.3409999999999993</v>
      </c>
      <c r="G1337">
        <v>-82.251000000000005</v>
      </c>
      <c r="H1337">
        <v>-5</v>
      </c>
      <c r="I1337">
        <v>3</v>
      </c>
      <c r="J1337" t="str">
        <f>HYPERLINK("https://climate.onebuilding.org/WMO_Region_4_North_and_Central_America/PAN_Panama/PAN_BC_Bocas.Del.Toro-Isla.Colon.Intl.AP.787935_TMYx.2007-2021.zip")</f>
        <v>https://climate.onebuilding.org/WMO_Region_4_North_and_Central_America/PAN_Panama/PAN_BC_Bocas.Del.Toro-Isla.Colon.Intl.AP.787935_TMYx.2007-2021.zip</v>
      </c>
    </row>
    <row r="1338" spans="1:10" x14ac:dyDescent="0.25">
      <c r="A1338" t="s">
        <v>759</v>
      </c>
      <c r="B1338" t="s">
        <v>783</v>
      </c>
      <c r="C1338" t="s">
        <v>784</v>
      </c>
      <c r="D1338">
        <v>787935</v>
      </c>
      <c r="E1338" t="s">
        <v>10</v>
      </c>
      <c r="F1338">
        <v>9.3409999999999993</v>
      </c>
      <c r="G1338">
        <v>-82.251000000000005</v>
      </c>
      <c r="H1338">
        <v>-5</v>
      </c>
      <c r="I1338">
        <v>3</v>
      </c>
      <c r="J1338" t="str">
        <f>HYPERLINK("https://climate.onebuilding.org/WMO_Region_4_North_and_Central_America/PAN_Panama/PAN_BC_Bocas.Del.Toro-Isla.Colon.Intl.AP.787935_TMYx.2009-2023.zip")</f>
        <v>https://climate.onebuilding.org/WMO_Region_4_North_and_Central_America/PAN_Panama/PAN_BC_Bocas.Del.Toro-Isla.Colon.Intl.AP.787935_TMYx.2009-2023.zip</v>
      </c>
    </row>
    <row r="1339" spans="1:10" x14ac:dyDescent="0.25">
      <c r="A1339" t="s">
        <v>759</v>
      </c>
      <c r="B1339" t="s">
        <v>783</v>
      </c>
      <c r="C1339" t="s">
        <v>784</v>
      </c>
      <c r="D1339">
        <v>787935</v>
      </c>
      <c r="E1339" t="s">
        <v>10</v>
      </c>
      <c r="F1339">
        <v>9.3409999999999993</v>
      </c>
      <c r="G1339">
        <v>-82.251000000000005</v>
      </c>
      <c r="H1339">
        <v>-5</v>
      </c>
      <c r="I1339">
        <v>3</v>
      </c>
      <c r="J1339" t="str">
        <f>HYPERLINK("https://climate.onebuilding.org/WMO_Region_4_North_and_Central_America/PAN_Panama/PAN_BC_Bocas.Del.Toro-Isla.Colon.Intl.AP.787935_TMYx.zip")</f>
        <v>https://climate.onebuilding.org/WMO_Region_4_North_and_Central_America/PAN_Panama/PAN_BC_Bocas.Del.Toro-Isla.Colon.Intl.AP.787935_TMYx.zip</v>
      </c>
    </row>
    <row r="1340" spans="1:10" x14ac:dyDescent="0.25">
      <c r="A1340" t="s">
        <v>759</v>
      </c>
      <c r="B1340" t="s">
        <v>783</v>
      </c>
      <c r="C1340" t="s">
        <v>786</v>
      </c>
      <c r="D1340">
        <v>787945</v>
      </c>
      <c r="E1340" t="s">
        <v>10</v>
      </c>
      <c r="F1340">
        <v>9.4588900000000002</v>
      </c>
      <c r="G1340">
        <v>-82.548609999999996</v>
      </c>
      <c r="H1340">
        <v>-5</v>
      </c>
      <c r="I1340">
        <v>5.8</v>
      </c>
      <c r="J1340" t="str">
        <f>HYPERLINK("https://climate.onebuilding.org/WMO_Region_4_North_and_Central_America/PAN_Panama/PAN_BC_Changuinola-Nino.Intl.AP.787945_TMYx.2007-2021.zip")</f>
        <v>https://climate.onebuilding.org/WMO_Region_4_North_and_Central_America/PAN_Panama/PAN_BC_Changuinola-Nino.Intl.AP.787945_TMYx.2007-2021.zip</v>
      </c>
    </row>
    <row r="1341" spans="1:10" x14ac:dyDescent="0.25">
      <c r="A1341" t="s">
        <v>759</v>
      </c>
      <c r="B1341" t="s">
        <v>783</v>
      </c>
      <c r="C1341" t="s">
        <v>786</v>
      </c>
      <c r="D1341">
        <v>787945</v>
      </c>
      <c r="E1341" t="s">
        <v>10</v>
      </c>
      <c r="F1341">
        <v>9.4588900000000002</v>
      </c>
      <c r="G1341">
        <v>-82.548609999999996</v>
      </c>
      <c r="H1341">
        <v>-5</v>
      </c>
      <c r="I1341">
        <v>5.8</v>
      </c>
      <c r="J1341" t="str">
        <f>HYPERLINK("https://climate.onebuilding.org/WMO_Region_4_North_and_Central_America/PAN_Panama/PAN_BC_Changuinola-Nino.Intl.AP.787945_TMYx.2009-2023.zip")</f>
        <v>https://climate.onebuilding.org/WMO_Region_4_North_and_Central_America/PAN_Panama/PAN_BC_Changuinola-Nino.Intl.AP.787945_TMYx.2009-2023.zip</v>
      </c>
    </row>
    <row r="1342" spans="1:10" x14ac:dyDescent="0.25">
      <c r="A1342" t="s">
        <v>759</v>
      </c>
      <c r="B1342" t="s">
        <v>783</v>
      </c>
      <c r="C1342" t="s">
        <v>786</v>
      </c>
      <c r="D1342">
        <v>787945</v>
      </c>
      <c r="E1342" t="s">
        <v>10</v>
      </c>
      <c r="F1342">
        <v>9.4588900000000002</v>
      </c>
      <c r="G1342">
        <v>-82.548609999999996</v>
      </c>
      <c r="H1342">
        <v>-5</v>
      </c>
      <c r="I1342">
        <v>5.8</v>
      </c>
      <c r="J1342" t="str">
        <f>HYPERLINK("https://climate.onebuilding.org/WMO_Region_4_North_and_Central_America/PAN_Panama/PAN_BC_Changuinola-Nino.Intl.AP.787945_TMYx.zip")</f>
        <v>https://climate.onebuilding.org/WMO_Region_4_North_and_Central_America/PAN_Panama/PAN_BC_Changuinola-Nino.Intl.AP.787945_TMYx.zip</v>
      </c>
    </row>
    <row r="1343" spans="1:10" x14ac:dyDescent="0.25">
      <c r="A1343" t="s">
        <v>759</v>
      </c>
      <c r="B1343" t="s">
        <v>787</v>
      </c>
      <c r="C1343" t="s">
        <v>788</v>
      </c>
      <c r="D1343">
        <v>787950</v>
      </c>
      <c r="E1343" t="s">
        <v>789</v>
      </c>
      <c r="F1343">
        <v>8.0860000000000003</v>
      </c>
      <c r="G1343">
        <v>-80.944999999999993</v>
      </c>
      <c r="H1343">
        <v>-5</v>
      </c>
      <c r="I1343">
        <v>82.9</v>
      </c>
      <c r="J1343" t="str">
        <f>HYPERLINK("https://climate.onebuilding.org/WMO_Region_4_North_and_Central_America/PAN_Panama/PAN_VR_Santiago.de.Veraguas-Cantu.AP.787950_TMYx.2004-2018.zip")</f>
        <v>https://climate.onebuilding.org/WMO_Region_4_North_and_Central_America/PAN_Panama/PAN_VR_Santiago.de.Veraguas-Cantu.AP.787950_TMYx.2004-2018.zip</v>
      </c>
    </row>
    <row r="1344" spans="1:10" x14ac:dyDescent="0.25">
      <c r="A1344" t="s">
        <v>759</v>
      </c>
      <c r="B1344" t="s">
        <v>787</v>
      </c>
      <c r="C1344" t="s">
        <v>788</v>
      </c>
      <c r="D1344">
        <v>787950</v>
      </c>
      <c r="E1344" t="s">
        <v>10</v>
      </c>
      <c r="F1344">
        <v>8.0860000000000003</v>
      </c>
      <c r="G1344">
        <v>-80.944999999999993</v>
      </c>
      <c r="H1344">
        <v>-5</v>
      </c>
      <c r="I1344">
        <v>82.9</v>
      </c>
      <c r="J1344" t="str">
        <f>HYPERLINK("https://climate.onebuilding.org/WMO_Region_4_North_and_Central_America/PAN_Panama/PAN_VR_Santiago.de.Veraguas-Cantu.AP.787950_TMYx.2007-2021.zip")</f>
        <v>https://climate.onebuilding.org/WMO_Region_4_North_and_Central_America/PAN_Panama/PAN_VR_Santiago.de.Veraguas-Cantu.AP.787950_TMYx.2007-2021.zip</v>
      </c>
    </row>
    <row r="1345" spans="1:10" x14ac:dyDescent="0.25">
      <c r="A1345" t="s">
        <v>759</v>
      </c>
      <c r="B1345" t="s">
        <v>787</v>
      </c>
      <c r="C1345" t="s">
        <v>788</v>
      </c>
      <c r="D1345">
        <v>787950</v>
      </c>
      <c r="E1345" t="s">
        <v>10</v>
      </c>
      <c r="F1345">
        <v>8.0860000000000003</v>
      </c>
      <c r="G1345">
        <v>-80.944999999999993</v>
      </c>
      <c r="H1345">
        <v>-5</v>
      </c>
      <c r="I1345">
        <v>82.9</v>
      </c>
      <c r="J1345" t="str">
        <f>HYPERLINK("https://climate.onebuilding.org/WMO_Region_4_North_and_Central_America/PAN_Panama/PAN_VR_Santiago.de.Veraguas-Cantu.AP.787950_TMYx.2009-2023.zip")</f>
        <v>https://climate.onebuilding.org/WMO_Region_4_North_and_Central_America/PAN_Panama/PAN_VR_Santiago.de.Veraguas-Cantu.AP.787950_TMYx.2009-2023.zip</v>
      </c>
    </row>
    <row r="1346" spans="1:10" x14ac:dyDescent="0.25">
      <c r="A1346" t="s">
        <v>759</v>
      </c>
      <c r="B1346" t="s">
        <v>787</v>
      </c>
      <c r="C1346" t="s">
        <v>788</v>
      </c>
      <c r="D1346">
        <v>787950</v>
      </c>
      <c r="E1346" t="s">
        <v>10</v>
      </c>
      <c r="F1346">
        <v>8.0860000000000003</v>
      </c>
      <c r="G1346">
        <v>-80.944999999999993</v>
      </c>
      <c r="H1346">
        <v>-5</v>
      </c>
      <c r="I1346">
        <v>82.9</v>
      </c>
      <c r="J1346" t="str">
        <f>HYPERLINK("https://climate.onebuilding.org/WMO_Region_4_North_and_Central_America/PAN_Panama/PAN_VR_Santiago.de.Veraguas-Cantu.AP.787950_TMYx.zip")</f>
        <v>https://climate.onebuilding.org/WMO_Region_4_North_and_Central_America/PAN_Panama/PAN_VR_Santiago.de.Veraguas-Cantu.AP.787950_TMYx.zip</v>
      </c>
    </row>
    <row r="1347" spans="1:10" x14ac:dyDescent="0.25">
      <c r="A1347" t="s">
        <v>759</v>
      </c>
      <c r="B1347" t="s">
        <v>762</v>
      </c>
      <c r="C1347" t="s">
        <v>790</v>
      </c>
      <c r="D1347">
        <v>787955</v>
      </c>
      <c r="E1347" t="s">
        <v>10</v>
      </c>
      <c r="F1347">
        <v>8.9169999999999998</v>
      </c>
      <c r="G1347">
        <v>-79.599999999999994</v>
      </c>
      <c r="H1347">
        <v>-5</v>
      </c>
      <c r="I1347">
        <v>13</v>
      </c>
      <c r="J1347" t="str">
        <f>HYPERLINK("https://climate.onebuilding.org/WMO_Region_4_North_and_Central_America/PAN_Panama/PAN_PM_Panama.Pacifico.Intl.AP.787955_TMYx.2007-2021.zip")</f>
        <v>https://climate.onebuilding.org/WMO_Region_4_North_and_Central_America/PAN_Panama/PAN_PM_Panama.Pacifico.Intl.AP.787955_TMYx.2007-2021.zip</v>
      </c>
    </row>
    <row r="1348" spans="1:10" x14ac:dyDescent="0.25">
      <c r="A1348" t="s">
        <v>759</v>
      </c>
      <c r="B1348" t="s">
        <v>762</v>
      </c>
      <c r="C1348" t="s">
        <v>790</v>
      </c>
      <c r="D1348">
        <v>787955</v>
      </c>
      <c r="E1348" t="s">
        <v>10</v>
      </c>
      <c r="F1348">
        <v>8.9169999999999998</v>
      </c>
      <c r="G1348">
        <v>-79.599999999999994</v>
      </c>
      <c r="H1348">
        <v>-5</v>
      </c>
      <c r="I1348">
        <v>13</v>
      </c>
      <c r="J1348" t="str">
        <f>HYPERLINK("https://climate.onebuilding.org/WMO_Region_4_North_and_Central_America/PAN_Panama/PAN_PM_Panama.Pacifico.Intl.AP.787955_TMYx.2009-2023.zip")</f>
        <v>https://climate.onebuilding.org/WMO_Region_4_North_and_Central_America/PAN_Panama/PAN_PM_Panama.Pacifico.Intl.AP.787955_TMYx.2009-2023.zip</v>
      </c>
    </row>
    <row r="1349" spans="1:10" x14ac:dyDescent="0.25">
      <c r="A1349" t="s">
        <v>759</v>
      </c>
      <c r="B1349" t="s">
        <v>762</v>
      </c>
      <c r="C1349" t="s">
        <v>790</v>
      </c>
      <c r="D1349">
        <v>787955</v>
      </c>
      <c r="E1349" t="s">
        <v>10</v>
      </c>
      <c r="F1349">
        <v>8.9169999999999998</v>
      </c>
      <c r="G1349">
        <v>-79.599999999999994</v>
      </c>
      <c r="H1349">
        <v>-5</v>
      </c>
      <c r="I1349">
        <v>13</v>
      </c>
      <c r="J1349" t="str">
        <f>HYPERLINK("https://climate.onebuilding.org/WMO_Region_4_North_and_Central_America/PAN_Panama/PAN_PM_Panama.Pacifico.Intl.AP.787955_TMYx.zip")</f>
        <v>https://climate.onebuilding.org/WMO_Region_4_North_and_Central_America/PAN_Panama/PAN_PM_Panama.Pacifico.Intl.AP.787955_TMYx.zip</v>
      </c>
    </row>
    <row r="1350" spans="1:10" x14ac:dyDescent="0.25">
      <c r="A1350" t="s">
        <v>759</v>
      </c>
      <c r="B1350" t="s">
        <v>791</v>
      </c>
      <c r="C1350" t="s">
        <v>792</v>
      </c>
      <c r="D1350">
        <v>787956</v>
      </c>
      <c r="E1350" t="s">
        <v>18</v>
      </c>
      <c r="F1350">
        <v>7.9880000000000004</v>
      </c>
      <c r="G1350">
        <v>-80.41</v>
      </c>
      <c r="H1350">
        <v>-5</v>
      </c>
      <c r="I1350">
        <v>10.1</v>
      </c>
      <c r="J1350" t="str">
        <f>HYPERLINK("https://climate.onebuilding.org/WMO_Region_4_North_and_Central_America/PAN_Panama/PAN_HE_Chitre-Valderrama.AP.787956_TMYx.2007-2021.zip")</f>
        <v>https://climate.onebuilding.org/WMO_Region_4_North_and_Central_America/PAN_Panama/PAN_HE_Chitre-Valderrama.AP.787956_TMYx.2007-2021.zip</v>
      </c>
    </row>
    <row r="1351" spans="1:10" x14ac:dyDescent="0.25">
      <c r="A1351" t="s">
        <v>759</v>
      </c>
      <c r="B1351" t="s">
        <v>791</v>
      </c>
      <c r="C1351" t="s">
        <v>792</v>
      </c>
      <c r="D1351">
        <v>787956</v>
      </c>
      <c r="E1351" t="s">
        <v>18</v>
      </c>
      <c r="F1351">
        <v>7.9880000000000004</v>
      </c>
      <c r="G1351">
        <v>-80.41</v>
      </c>
      <c r="H1351">
        <v>-5</v>
      </c>
      <c r="I1351">
        <v>10.1</v>
      </c>
      <c r="J1351" t="str">
        <f>HYPERLINK("https://climate.onebuilding.org/WMO_Region_4_North_and_Central_America/PAN_Panama/PAN_HE_Chitre-Valderrama.AP.787956_TMYx.2009-2023.zip")</f>
        <v>https://climate.onebuilding.org/WMO_Region_4_North_and_Central_America/PAN_Panama/PAN_HE_Chitre-Valderrama.AP.787956_TMYx.2009-2023.zip</v>
      </c>
    </row>
    <row r="1352" spans="1:10" x14ac:dyDescent="0.25">
      <c r="A1352" t="s">
        <v>759</v>
      </c>
      <c r="B1352" t="s">
        <v>791</v>
      </c>
      <c r="C1352" t="s">
        <v>792</v>
      </c>
      <c r="D1352">
        <v>787956</v>
      </c>
      <c r="E1352" t="s">
        <v>18</v>
      </c>
      <c r="F1352">
        <v>7.9880000000000004</v>
      </c>
      <c r="G1352">
        <v>-80.41</v>
      </c>
      <c r="H1352">
        <v>-5</v>
      </c>
      <c r="I1352">
        <v>10.1</v>
      </c>
      <c r="J1352" t="str">
        <f>HYPERLINK("https://climate.onebuilding.org/WMO_Region_4_North_and_Central_America/PAN_Panama/PAN_HE_Chitre-Valderrama.AP.787956_TMYx.zip")</f>
        <v>https://climate.onebuilding.org/WMO_Region_4_North_and_Central_America/PAN_Panama/PAN_HE_Chitre-Valderrama.AP.787956_TMYx.zip</v>
      </c>
    </row>
    <row r="1353" spans="1:10" x14ac:dyDescent="0.25">
      <c r="A1353" t="s">
        <v>759</v>
      </c>
      <c r="B1353" t="s">
        <v>331</v>
      </c>
      <c r="C1353" t="s">
        <v>793</v>
      </c>
      <c r="D1353">
        <v>788010</v>
      </c>
      <c r="E1353" t="s">
        <v>18</v>
      </c>
      <c r="F1353">
        <v>9.3670000000000009</v>
      </c>
      <c r="G1353">
        <v>-79.95</v>
      </c>
      <c r="H1353">
        <v>-5</v>
      </c>
      <c r="I1353">
        <v>52</v>
      </c>
      <c r="J1353" t="str">
        <f>HYPERLINK("https://climate.onebuilding.org/WMO_Region_4_North_and_Central_America/PAN_Panama/PAN_CL_Ft.Sherman.Rocob.788010_TMYx.2007-2021.zip")</f>
        <v>https://climate.onebuilding.org/WMO_Region_4_North_and_Central_America/PAN_Panama/PAN_CL_Ft.Sherman.Rocob.788010_TMYx.2007-2021.zip</v>
      </c>
    </row>
    <row r="1354" spans="1:10" x14ac:dyDescent="0.25">
      <c r="A1354" t="s">
        <v>759</v>
      </c>
      <c r="B1354" t="s">
        <v>331</v>
      </c>
      <c r="C1354" t="s">
        <v>793</v>
      </c>
      <c r="D1354">
        <v>788010</v>
      </c>
      <c r="E1354" t="s">
        <v>18</v>
      </c>
      <c r="F1354">
        <v>9.3670000000000009</v>
      </c>
      <c r="G1354">
        <v>-79.95</v>
      </c>
      <c r="H1354">
        <v>-5</v>
      </c>
      <c r="I1354">
        <v>52</v>
      </c>
      <c r="J1354" t="str">
        <f>HYPERLINK("https://climate.onebuilding.org/WMO_Region_4_North_and_Central_America/PAN_Panama/PAN_CL_Ft.Sherman.Rocob.788010_TMYx.2009-2023.zip")</f>
        <v>https://climate.onebuilding.org/WMO_Region_4_North_and_Central_America/PAN_Panama/PAN_CL_Ft.Sherman.Rocob.788010_TMYx.2009-2023.zip</v>
      </c>
    </row>
    <row r="1355" spans="1:10" x14ac:dyDescent="0.25">
      <c r="A1355" t="s">
        <v>759</v>
      </c>
      <c r="B1355" t="s">
        <v>331</v>
      </c>
      <c r="C1355" t="s">
        <v>793</v>
      </c>
      <c r="D1355">
        <v>788010</v>
      </c>
      <c r="E1355" t="s">
        <v>18</v>
      </c>
      <c r="F1355">
        <v>9.3670000000000009</v>
      </c>
      <c r="G1355">
        <v>-79.95</v>
      </c>
      <c r="H1355">
        <v>-5</v>
      </c>
      <c r="I1355">
        <v>52</v>
      </c>
      <c r="J1355" t="str">
        <f>HYPERLINK("https://climate.onebuilding.org/WMO_Region_4_North_and_Central_America/PAN_Panama/PAN_CL_Ft.Sherman.Rocob.788010_TMYx.zip")</f>
        <v>https://climate.onebuilding.org/WMO_Region_4_North_and_Central_America/PAN_Panama/PAN_CL_Ft.Sherman.Rocob.788010_TMYx.zip</v>
      </c>
    </row>
    <row r="1356" spans="1:10" x14ac:dyDescent="0.25">
      <c r="A1356" t="s">
        <v>759</v>
      </c>
      <c r="B1356" t="s">
        <v>762</v>
      </c>
      <c r="C1356" t="s">
        <v>794</v>
      </c>
      <c r="D1356">
        <v>788065</v>
      </c>
      <c r="E1356" t="s">
        <v>18</v>
      </c>
      <c r="F1356">
        <v>9.0058699999999998</v>
      </c>
      <c r="G1356">
        <v>-79.491759999999999</v>
      </c>
      <c r="H1356">
        <v>-5</v>
      </c>
      <c r="I1356">
        <v>27</v>
      </c>
      <c r="J1356" t="str">
        <f>HYPERLINK("https://climate.onebuilding.org/WMO_Region_4_North_and_Central_America/PAN_Panama/PAN_PM_Chiva.Chiva-Panama.City.788065_TMYx.2007-2021.zip")</f>
        <v>https://climate.onebuilding.org/WMO_Region_4_North_and_Central_America/PAN_Panama/PAN_PM_Chiva.Chiva-Panama.City.788065_TMYx.2007-2021.zip</v>
      </c>
    </row>
    <row r="1357" spans="1:10" x14ac:dyDescent="0.25">
      <c r="A1357" t="s">
        <v>759</v>
      </c>
      <c r="B1357" t="s">
        <v>762</v>
      </c>
      <c r="C1357" t="s">
        <v>794</v>
      </c>
      <c r="D1357">
        <v>788065</v>
      </c>
      <c r="E1357" t="s">
        <v>18</v>
      </c>
      <c r="F1357">
        <v>9.0058699999999998</v>
      </c>
      <c r="G1357">
        <v>-79.491759999999999</v>
      </c>
      <c r="H1357">
        <v>-5</v>
      </c>
      <c r="I1357">
        <v>27</v>
      </c>
      <c r="J1357" t="str">
        <f>HYPERLINK("https://climate.onebuilding.org/WMO_Region_4_North_and_Central_America/PAN_Panama/PAN_PM_Chiva.Chiva-Panama.City.788065_TMYx.2009-2023.zip")</f>
        <v>https://climate.onebuilding.org/WMO_Region_4_North_and_Central_America/PAN_Panama/PAN_PM_Chiva.Chiva-Panama.City.788065_TMYx.2009-2023.zip</v>
      </c>
    </row>
    <row r="1358" spans="1:10" x14ac:dyDescent="0.25">
      <c r="A1358" t="s">
        <v>759</v>
      </c>
      <c r="B1358" t="s">
        <v>762</v>
      </c>
      <c r="C1358" t="s">
        <v>794</v>
      </c>
      <c r="D1358">
        <v>788065</v>
      </c>
      <c r="E1358" t="s">
        <v>18</v>
      </c>
      <c r="F1358">
        <v>9.0058699999999998</v>
      </c>
      <c r="G1358">
        <v>-79.491759999999999</v>
      </c>
      <c r="H1358">
        <v>-5</v>
      </c>
      <c r="I1358">
        <v>27</v>
      </c>
      <c r="J1358" t="str">
        <f>HYPERLINK("https://climate.onebuilding.org/WMO_Region_4_North_and_Central_America/PAN_Panama/PAN_PM_Chiva.Chiva-Panama.City.788065_TMYx.zip")</f>
        <v>https://climate.onebuilding.org/WMO_Region_4_North_and_Central_America/PAN_Panama/PAN_PM_Chiva.Chiva-Panama.City.788065_TMYx.zip</v>
      </c>
    </row>
    <row r="1359" spans="1:10" x14ac:dyDescent="0.25">
      <c r="A1359" t="s">
        <v>759</v>
      </c>
      <c r="B1359" t="s">
        <v>762</v>
      </c>
      <c r="C1359" t="s">
        <v>795</v>
      </c>
      <c r="D1359">
        <v>788067</v>
      </c>
      <c r="E1359" t="s">
        <v>10</v>
      </c>
      <c r="F1359">
        <v>8.9830000000000005</v>
      </c>
      <c r="G1359">
        <v>-79.516999999999996</v>
      </c>
      <c r="H1359">
        <v>-5</v>
      </c>
      <c r="I1359">
        <v>13</v>
      </c>
      <c r="J1359" t="str">
        <f>HYPERLINK("https://climate.onebuilding.org/WMO_Region_4_North_and_Central_America/PAN_Panama/PAN_PM_Panama.788067_TMYx.zip")</f>
        <v>https://climate.onebuilding.org/WMO_Region_4_North_and_Central_America/PAN_Panama/PAN_PM_Panama.788067_TMYx.zip</v>
      </c>
    </row>
    <row r="1360" spans="1:10" x14ac:dyDescent="0.25">
      <c r="A1360" t="s">
        <v>759</v>
      </c>
      <c r="B1360" t="s">
        <v>796</v>
      </c>
      <c r="C1360" t="s">
        <v>797</v>
      </c>
      <c r="D1360">
        <v>788076</v>
      </c>
      <c r="E1360" t="s">
        <v>18</v>
      </c>
      <c r="F1360">
        <v>8.407</v>
      </c>
      <c r="G1360">
        <v>-78.141999999999996</v>
      </c>
      <c r="H1360">
        <v>-5</v>
      </c>
      <c r="I1360">
        <v>9</v>
      </c>
      <c r="J1360" t="str">
        <f>HYPERLINK("https://climate.onebuilding.org/WMO_Region_4_North_and_Central_America/PAN_Panama/PAN_DA_La.Palma-Xatruch.AP.788076_TMYx.2007-2021.zip")</f>
        <v>https://climate.onebuilding.org/WMO_Region_4_North_and_Central_America/PAN_Panama/PAN_DA_La.Palma-Xatruch.AP.788076_TMYx.2007-2021.zip</v>
      </c>
    </row>
    <row r="1361" spans="1:10" x14ac:dyDescent="0.25">
      <c r="A1361" t="s">
        <v>759</v>
      </c>
      <c r="B1361" t="s">
        <v>796</v>
      </c>
      <c r="C1361" t="s">
        <v>797</v>
      </c>
      <c r="D1361">
        <v>788076</v>
      </c>
      <c r="E1361" t="s">
        <v>18</v>
      </c>
      <c r="F1361">
        <v>8.407</v>
      </c>
      <c r="G1361">
        <v>-78.141999999999996</v>
      </c>
      <c r="H1361">
        <v>-5</v>
      </c>
      <c r="I1361">
        <v>9</v>
      </c>
      <c r="J1361" t="str">
        <f>HYPERLINK("https://climate.onebuilding.org/WMO_Region_4_North_and_Central_America/PAN_Panama/PAN_DA_La.Palma-Xatruch.AP.788076_TMYx.2009-2023.zip")</f>
        <v>https://climate.onebuilding.org/WMO_Region_4_North_and_Central_America/PAN_Panama/PAN_DA_La.Palma-Xatruch.AP.788076_TMYx.2009-2023.zip</v>
      </c>
    </row>
    <row r="1362" spans="1:10" x14ac:dyDescent="0.25">
      <c r="A1362" t="s">
        <v>759</v>
      </c>
      <c r="B1362" t="s">
        <v>796</v>
      </c>
      <c r="C1362" t="s">
        <v>797</v>
      </c>
      <c r="D1362">
        <v>788076</v>
      </c>
      <c r="E1362" t="s">
        <v>18</v>
      </c>
      <c r="F1362">
        <v>8.407</v>
      </c>
      <c r="G1362">
        <v>-78.141999999999996</v>
      </c>
      <c r="H1362">
        <v>-5</v>
      </c>
      <c r="I1362">
        <v>9</v>
      </c>
      <c r="J1362" t="str">
        <f>HYPERLINK("https://climate.onebuilding.org/WMO_Region_4_North_and_Central_America/PAN_Panama/PAN_DA_La.Palma-Xatruch.AP.788076_TMYx.zip")</f>
        <v>https://climate.onebuilding.org/WMO_Region_4_North_and_Central_America/PAN_Panama/PAN_DA_La.Palma-Xatruch.AP.788076_TMYx.zip</v>
      </c>
    </row>
    <row r="1363" spans="1:10" x14ac:dyDescent="0.25">
      <c r="A1363" t="s">
        <v>759</v>
      </c>
      <c r="B1363" t="s">
        <v>95</v>
      </c>
      <c r="C1363" t="s">
        <v>798</v>
      </c>
      <c r="D1363">
        <v>788078</v>
      </c>
      <c r="E1363" t="s">
        <v>10</v>
      </c>
      <c r="F1363">
        <v>8.3719199999999994</v>
      </c>
      <c r="G1363">
        <v>-80.127920000000003</v>
      </c>
      <c r="H1363">
        <v>-5</v>
      </c>
      <c r="I1363">
        <v>32</v>
      </c>
      <c r="J1363" t="str">
        <f>HYPERLINK("https://climate.onebuilding.org/WMO_Region_4_North_and_Central_America/PAN_Panama/PAN_CC_Rio.Hato-Martinez.Intl.AP.788078_TMYx.zip")</f>
        <v>https://climate.onebuilding.org/WMO_Region_4_North_and_Central_America/PAN_Panama/PAN_CC_Rio.Hato-Martinez.Intl.AP.788078_TMYx.zip</v>
      </c>
    </row>
    <row r="1364" spans="1:10" x14ac:dyDescent="0.25">
      <c r="A1364" t="s">
        <v>759</v>
      </c>
      <c r="B1364" t="s">
        <v>796</v>
      </c>
      <c r="C1364" t="s">
        <v>799</v>
      </c>
      <c r="D1364">
        <v>788079</v>
      </c>
      <c r="E1364" t="s">
        <v>18</v>
      </c>
      <c r="F1364">
        <v>7.5178099999999999</v>
      </c>
      <c r="G1364">
        <v>-78.157700000000006</v>
      </c>
      <c r="H1364">
        <v>-5</v>
      </c>
      <c r="I1364">
        <v>10</v>
      </c>
      <c r="J1364" t="str">
        <f>HYPERLINK("https://climate.onebuilding.org/WMO_Region_4_North_and_Central_America/PAN_Panama/PAN_DA_Jaque.AP.788079_TMYx.2007-2021.zip")</f>
        <v>https://climate.onebuilding.org/WMO_Region_4_North_and_Central_America/PAN_Panama/PAN_DA_Jaque.AP.788079_TMYx.2007-2021.zip</v>
      </c>
    </row>
    <row r="1365" spans="1:10" x14ac:dyDescent="0.25">
      <c r="A1365" t="s">
        <v>759</v>
      </c>
      <c r="B1365" t="s">
        <v>796</v>
      </c>
      <c r="C1365" t="s">
        <v>799</v>
      </c>
      <c r="D1365">
        <v>788079</v>
      </c>
      <c r="E1365" t="s">
        <v>18</v>
      </c>
      <c r="F1365">
        <v>7.5178099999999999</v>
      </c>
      <c r="G1365">
        <v>-78.157700000000006</v>
      </c>
      <c r="H1365">
        <v>-5</v>
      </c>
      <c r="I1365">
        <v>10</v>
      </c>
      <c r="J1365" t="str">
        <f>HYPERLINK("https://climate.onebuilding.org/WMO_Region_4_North_and_Central_America/PAN_Panama/PAN_DA_Jaque.AP.788079_TMYx.2009-2023.zip")</f>
        <v>https://climate.onebuilding.org/WMO_Region_4_North_and_Central_America/PAN_Panama/PAN_DA_Jaque.AP.788079_TMYx.2009-2023.zip</v>
      </c>
    </row>
    <row r="1366" spans="1:10" x14ac:dyDescent="0.25">
      <c r="A1366" t="s">
        <v>759</v>
      </c>
      <c r="B1366" t="s">
        <v>796</v>
      </c>
      <c r="C1366" t="s">
        <v>799</v>
      </c>
      <c r="D1366">
        <v>788079</v>
      </c>
      <c r="E1366" t="s">
        <v>18</v>
      </c>
      <c r="F1366">
        <v>7.5178099999999999</v>
      </c>
      <c r="G1366">
        <v>-78.157700000000006</v>
      </c>
      <c r="H1366">
        <v>-5</v>
      </c>
      <c r="I1366">
        <v>10</v>
      </c>
      <c r="J1366" t="str">
        <f>HYPERLINK("https://climate.onebuilding.org/WMO_Region_4_North_and_Central_America/PAN_Panama/PAN_DA_Jaque.AP.788079_TMYx.zip")</f>
        <v>https://climate.onebuilding.org/WMO_Region_4_North_and_Central_America/PAN_Panama/PAN_DA_Jaque.AP.788079_TMYx.zip</v>
      </c>
    </row>
    <row r="1367" spans="1:10" x14ac:dyDescent="0.25">
      <c r="A1367" t="s">
        <v>800</v>
      </c>
      <c r="B1367" t="s">
        <v>109</v>
      </c>
      <c r="C1367" t="s">
        <v>801</v>
      </c>
      <c r="D1367">
        <v>785140</v>
      </c>
      <c r="E1367" t="s">
        <v>802</v>
      </c>
      <c r="F1367">
        <v>18.5</v>
      </c>
      <c r="G1367">
        <v>-67.132999999999996</v>
      </c>
      <c r="H1367">
        <v>-4</v>
      </c>
      <c r="I1367">
        <v>72</v>
      </c>
      <c r="J1367" t="str">
        <f>HYPERLINK("https://climate.onebuilding.org/WMO_Region_4_North_and_Central_America/PRI_Puerto_Rico/AL_Aguadilla/PRI_AL_Aguadilla-Hernandez.AP.785140_TMYx.2004-2018.zip")</f>
        <v>https://climate.onebuilding.org/WMO_Region_4_North_and_Central_America/PRI_Puerto_Rico/AL_Aguadilla/PRI_AL_Aguadilla-Hernandez.AP.785140_TMYx.2004-2018.zip</v>
      </c>
    </row>
    <row r="1368" spans="1:10" x14ac:dyDescent="0.25">
      <c r="A1368" t="s">
        <v>800</v>
      </c>
      <c r="B1368" t="s">
        <v>109</v>
      </c>
      <c r="C1368" t="s">
        <v>801</v>
      </c>
      <c r="D1368">
        <v>785140</v>
      </c>
      <c r="E1368" t="s">
        <v>10</v>
      </c>
      <c r="F1368">
        <v>18.498000000000001</v>
      </c>
      <c r="G1368">
        <v>-67.129000000000005</v>
      </c>
      <c r="H1368">
        <v>-4</v>
      </c>
      <c r="I1368">
        <v>72</v>
      </c>
      <c r="J1368" t="str">
        <f>HYPERLINK("https://climate.onebuilding.org/WMO_Region_4_North_and_Central_America/PRI_Puerto_Rico/AL_Aguadilla/PRI_AL_Aguadilla-Hernandez.AP.785140_TMYx.2007-2021.zip")</f>
        <v>https://climate.onebuilding.org/WMO_Region_4_North_and_Central_America/PRI_Puerto_Rico/AL_Aguadilla/PRI_AL_Aguadilla-Hernandez.AP.785140_TMYx.2007-2021.zip</v>
      </c>
    </row>
    <row r="1369" spans="1:10" x14ac:dyDescent="0.25">
      <c r="A1369" t="s">
        <v>800</v>
      </c>
      <c r="B1369" t="s">
        <v>109</v>
      </c>
      <c r="C1369" t="s">
        <v>801</v>
      </c>
      <c r="D1369">
        <v>785140</v>
      </c>
      <c r="E1369" t="s">
        <v>10</v>
      </c>
      <c r="F1369">
        <v>18.498000000000001</v>
      </c>
      <c r="G1369">
        <v>-67.129000000000005</v>
      </c>
      <c r="H1369">
        <v>-4</v>
      </c>
      <c r="I1369">
        <v>72</v>
      </c>
      <c r="J1369" t="str">
        <f>HYPERLINK("https://climate.onebuilding.org/WMO_Region_4_North_and_Central_America/PRI_Puerto_Rico/AL_Aguadilla/PRI_AL_Aguadilla-Hernandez.AP.785140_TMYx.2009-2023.zip")</f>
        <v>https://climate.onebuilding.org/WMO_Region_4_North_and_Central_America/PRI_Puerto_Rico/AL_Aguadilla/PRI_AL_Aguadilla-Hernandez.AP.785140_TMYx.2009-2023.zip</v>
      </c>
    </row>
    <row r="1370" spans="1:10" x14ac:dyDescent="0.25">
      <c r="A1370" t="s">
        <v>800</v>
      </c>
      <c r="B1370" t="s">
        <v>109</v>
      </c>
      <c r="C1370" t="s">
        <v>801</v>
      </c>
      <c r="D1370">
        <v>785140</v>
      </c>
      <c r="E1370" t="s">
        <v>10</v>
      </c>
      <c r="F1370">
        <v>18.498000000000001</v>
      </c>
      <c r="G1370">
        <v>-67.129000000000005</v>
      </c>
      <c r="H1370">
        <v>-4</v>
      </c>
      <c r="I1370">
        <v>72</v>
      </c>
      <c r="J1370" t="str">
        <f>HYPERLINK("https://climate.onebuilding.org/WMO_Region_4_North_and_Central_America/PRI_Puerto_Rico/AL_Aguadilla/PRI_AL_Aguadilla-Hernandez.AP.785140_TMYx.zip")</f>
        <v>https://climate.onebuilding.org/WMO_Region_4_North_and_Central_America/PRI_Puerto_Rico/AL_Aguadilla/PRI_AL_Aguadilla-Hernandez.AP.785140_TMYx.zip</v>
      </c>
    </row>
    <row r="1371" spans="1:10" x14ac:dyDescent="0.25">
      <c r="A1371" t="s">
        <v>800</v>
      </c>
      <c r="B1371" t="s">
        <v>70</v>
      </c>
      <c r="C1371" t="s">
        <v>803</v>
      </c>
      <c r="D1371">
        <v>785145</v>
      </c>
      <c r="E1371" t="s">
        <v>804</v>
      </c>
      <c r="F1371">
        <v>18.25</v>
      </c>
      <c r="G1371">
        <v>-67.150000000000006</v>
      </c>
      <c r="H1371">
        <v>-4</v>
      </c>
      <c r="I1371">
        <v>9</v>
      </c>
      <c r="J1371" t="str">
        <f>HYPERLINK("https://climate.onebuilding.org/WMO_Region_4_North_and_Central_America/PRI_Puerto_Rico/MG_Mayaguez/PRI_MG_Mayaguez-De.Hostos.AP.785145_TMYx.2004-2018.zip")</f>
        <v>https://climate.onebuilding.org/WMO_Region_4_North_and_Central_America/PRI_Puerto_Rico/MG_Mayaguez/PRI_MG_Mayaguez-De.Hostos.AP.785145_TMYx.2004-2018.zip</v>
      </c>
    </row>
    <row r="1372" spans="1:10" x14ac:dyDescent="0.25">
      <c r="A1372" t="s">
        <v>800</v>
      </c>
      <c r="B1372" t="s">
        <v>70</v>
      </c>
      <c r="C1372" t="s">
        <v>803</v>
      </c>
      <c r="D1372">
        <v>785145</v>
      </c>
      <c r="E1372" t="s">
        <v>10</v>
      </c>
      <c r="F1372">
        <v>18.25</v>
      </c>
      <c r="G1372">
        <v>-67.150000000000006</v>
      </c>
      <c r="H1372">
        <v>-4</v>
      </c>
      <c r="I1372">
        <v>9</v>
      </c>
      <c r="J1372" t="str">
        <f>HYPERLINK("https://climate.onebuilding.org/WMO_Region_4_North_and_Central_America/PRI_Puerto_Rico/MG_Mayaguez/PRI_MG_Mayaguez-De.Hostos.AP.785145_TMYx.2007-2021.zip")</f>
        <v>https://climate.onebuilding.org/WMO_Region_4_North_and_Central_America/PRI_Puerto_Rico/MG_Mayaguez/PRI_MG_Mayaguez-De.Hostos.AP.785145_TMYx.2007-2021.zip</v>
      </c>
    </row>
    <row r="1373" spans="1:10" x14ac:dyDescent="0.25">
      <c r="A1373" t="s">
        <v>800</v>
      </c>
      <c r="B1373" t="s">
        <v>70</v>
      </c>
      <c r="C1373" t="s">
        <v>803</v>
      </c>
      <c r="D1373">
        <v>785145</v>
      </c>
      <c r="E1373" t="s">
        <v>10</v>
      </c>
      <c r="F1373">
        <v>18.25</v>
      </c>
      <c r="G1373">
        <v>-67.150000000000006</v>
      </c>
      <c r="H1373">
        <v>-4</v>
      </c>
      <c r="I1373">
        <v>9</v>
      </c>
      <c r="J1373" t="str">
        <f>HYPERLINK("https://climate.onebuilding.org/WMO_Region_4_North_and_Central_America/PRI_Puerto_Rico/MG_Mayaguez/PRI_MG_Mayaguez-De.Hostos.AP.785145_TMYx.2009-2023.zip")</f>
        <v>https://climate.onebuilding.org/WMO_Region_4_North_and_Central_America/PRI_Puerto_Rico/MG_Mayaguez/PRI_MG_Mayaguez-De.Hostos.AP.785145_TMYx.2009-2023.zip</v>
      </c>
    </row>
    <row r="1374" spans="1:10" x14ac:dyDescent="0.25">
      <c r="A1374" t="s">
        <v>800</v>
      </c>
      <c r="B1374" t="s">
        <v>70</v>
      </c>
      <c r="C1374" t="s">
        <v>803</v>
      </c>
      <c r="D1374">
        <v>785145</v>
      </c>
      <c r="E1374" t="s">
        <v>10</v>
      </c>
      <c r="F1374">
        <v>18.25</v>
      </c>
      <c r="G1374">
        <v>-67.150000000000006</v>
      </c>
      <c r="H1374">
        <v>-4</v>
      </c>
      <c r="I1374">
        <v>9</v>
      </c>
      <c r="J1374" t="str">
        <f>HYPERLINK("https://climate.onebuilding.org/WMO_Region_4_North_and_Central_America/PRI_Puerto_Rico/MG_Mayaguez/PRI_MG_Mayaguez-De.Hostos.AP.785145_TMYx.zip")</f>
        <v>https://climate.onebuilding.org/WMO_Region_4_North_and_Central_America/PRI_Puerto_Rico/MG_Mayaguez/PRI_MG_Mayaguez-De.Hostos.AP.785145_TMYx.zip</v>
      </c>
    </row>
    <row r="1375" spans="1:10" x14ac:dyDescent="0.25">
      <c r="A1375" t="s">
        <v>800</v>
      </c>
      <c r="B1375" t="s">
        <v>760</v>
      </c>
      <c r="C1375" t="s">
        <v>805</v>
      </c>
      <c r="D1375">
        <v>785203</v>
      </c>
      <c r="E1375" t="s">
        <v>806</v>
      </c>
      <c r="F1375">
        <v>18.007999999999999</v>
      </c>
      <c r="G1375">
        <v>-66.563000000000002</v>
      </c>
      <c r="H1375">
        <v>-4</v>
      </c>
      <c r="I1375">
        <v>8.8000000000000007</v>
      </c>
      <c r="J1375" t="str">
        <f>HYPERLINK("https://climate.onebuilding.org/WMO_Region_4_North_and_Central_America/PRI_Puerto_Rico/PO_Ponce/PRI_PO_Ponce-Mercedita.Intl.AP.785203_TMYx.2004-2018.zip")</f>
        <v>https://climate.onebuilding.org/WMO_Region_4_North_and_Central_America/PRI_Puerto_Rico/PO_Ponce/PRI_PO_Ponce-Mercedita.Intl.AP.785203_TMYx.2004-2018.zip</v>
      </c>
    </row>
    <row r="1376" spans="1:10" x14ac:dyDescent="0.25">
      <c r="A1376" t="s">
        <v>800</v>
      </c>
      <c r="B1376" t="s">
        <v>760</v>
      </c>
      <c r="C1376" t="s">
        <v>805</v>
      </c>
      <c r="D1376">
        <v>785203</v>
      </c>
      <c r="E1376" t="s">
        <v>10</v>
      </c>
      <c r="F1376">
        <v>18.007999999999999</v>
      </c>
      <c r="G1376">
        <v>-66.563000000000002</v>
      </c>
      <c r="H1376">
        <v>-4</v>
      </c>
      <c r="I1376">
        <v>8.8000000000000007</v>
      </c>
      <c r="J1376" t="str">
        <f>HYPERLINK("https://climate.onebuilding.org/WMO_Region_4_North_and_Central_America/PRI_Puerto_Rico/PO_Ponce/PRI_PO_Ponce-Mercedita.Intl.AP.785203_TMYx.2007-2021.zip")</f>
        <v>https://climate.onebuilding.org/WMO_Region_4_North_and_Central_America/PRI_Puerto_Rico/PO_Ponce/PRI_PO_Ponce-Mercedita.Intl.AP.785203_TMYx.2007-2021.zip</v>
      </c>
    </row>
    <row r="1377" spans="1:10" x14ac:dyDescent="0.25">
      <c r="A1377" t="s">
        <v>800</v>
      </c>
      <c r="B1377" t="s">
        <v>760</v>
      </c>
      <c r="C1377" t="s">
        <v>805</v>
      </c>
      <c r="D1377">
        <v>785203</v>
      </c>
      <c r="E1377" t="s">
        <v>10</v>
      </c>
      <c r="F1377">
        <v>18.007999999999999</v>
      </c>
      <c r="G1377">
        <v>-66.563000000000002</v>
      </c>
      <c r="H1377">
        <v>-4</v>
      </c>
      <c r="I1377">
        <v>8.8000000000000007</v>
      </c>
      <c r="J1377" t="str">
        <f>HYPERLINK("https://climate.onebuilding.org/WMO_Region_4_North_and_Central_America/PRI_Puerto_Rico/PO_Ponce/PRI_PO_Ponce-Mercedita.Intl.AP.785203_TMYx.2009-2023.zip")</f>
        <v>https://climate.onebuilding.org/WMO_Region_4_North_and_Central_America/PRI_Puerto_Rico/PO_Ponce/PRI_PO_Ponce-Mercedita.Intl.AP.785203_TMYx.2009-2023.zip</v>
      </c>
    </row>
    <row r="1378" spans="1:10" x14ac:dyDescent="0.25">
      <c r="A1378" t="s">
        <v>800</v>
      </c>
      <c r="B1378" t="s">
        <v>760</v>
      </c>
      <c r="C1378" t="s">
        <v>805</v>
      </c>
      <c r="D1378">
        <v>785203</v>
      </c>
      <c r="E1378" t="s">
        <v>10</v>
      </c>
      <c r="F1378">
        <v>18.007999999999999</v>
      </c>
      <c r="G1378">
        <v>-66.563000000000002</v>
      </c>
      <c r="H1378">
        <v>-4</v>
      </c>
      <c r="I1378">
        <v>8.8000000000000007</v>
      </c>
      <c r="J1378" t="str">
        <f>HYPERLINK("https://climate.onebuilding.org/WMO_Region_4_North_and_Central_America/PRI_Puerto_Rico/PO_Ponce/PRI_PO_Ponce-Mercedita.Intl.AP.785203_TMYx.zip")</f>
        <v>https://climate.onebuilding.org/WMO_Region_4_North_and_Central_America/PRI_Puerto_Rico/PO_Ponce/PRI_PO_Ponce-Mercedita.Intl.AP.785203_TMYx.zip</v>
      </c>
    </row>
    <row r="1379" spans="1:10" x14ac:dyDescent="0.25">
      <c r="A1379" t="s">
        <v>800</v>
      </c>
      <c r="B1379" t="s">
        <v>807</v>
      </c>
      <c r="C1379" t="s">
        <v>808</v>
      </c>
      <c r="D1379">
        <v>785260</v>
      </c>
      <c r="E1379" t="s">
        <v>809</v>
      </c>
      <c r="F1379">
        <v>18.433</v>
      </c>
      <c r="G1379">
        <v>-66.010999999999996</v>
      </c>
      <c r="H1379">
        <v>-4</v>
      </c>
      <c r="I1379">
        <v>2.7</v>
      </c>
      <c r="J1379" t="str">
        <f>HYPERLINK("https://climate.onebuilding.org/WMO_Region_4_North_and_Central_America/PRI_Puerto_Rico/CN_Carolina/PRI_CN_San.Juan-Marin.Intl.AP.785260_TMYx.2004-2018.zip")</f>
        <v>https://climate.onebuilding.org/WMO_Region_4_North_and_Central_America/PRI_Puerto_Rico/CN_Carolina/PRI_CN_San.Juan-Marin.Intl.AP.785260_TMYx.2004-2018.zip</v>
      </c>
    </row>
    <row r="1380" spans="1:10" x14ac:dyDescent="0.25">
      <c r="A1380" t="s">
        <v>800</v>
      </c>
      <c r="B1380" t="s">
        <v>807</v>
      </c>
      <c r="C1380" t="s">
        <v>808</v>
      </c>
      <c r="D1380">
        <v>785260</v>
      </c>
      <c r="E1380" t="s">
        <v>10</v>
      </c>
      <c r="F1380">
        <v>18.431699999999999</v>
      </c>
      <c r="G1380">
        <v>-65.991900000000001</v>
      </c>
      <c r="H1380">
        <v>-4</v>
      </c>
      <c r="I1380">
        <v>2.7</v>
      </c>
      <c r="J1380" t="str">
        <f>HYPERLINK("https://climate.onebuilding.org/WMO_Region_4_North_and_Central_America/PRI_Puerto_Rico/CN_Carolina/PRI_CN_San.Juan-Marin.Intl.AP.785260_TMYx.2007-2021.zip")</f>
        <v>https://climate.onebuilding.org/WMO_Region_4_North_and_Central_America/PRI_Puerto_Rico/CN_Carolina/PRI_CN_San.Juan-Marin.Intl.AP.785260_TMYx.2007-2021.zip</v>
      </c>
    </row>
    <row r="1381" spans="1:10" x14ac:dyDescent="0.25">
      <c r="A1381" t="s">
        <v>800</v>
      </c>
      <c r="B1381" t="s">
        <v>807</v>
      </c>
      <c r="C1381" t="s">
        <v>808</v>
      </c>
      <c r="D1381">
        <v>785260</v>
      </c>
      <c r="E1381" t="s">
        <v>10</v>
      </c>
      <c r="F1381">
        <v>18.431699999999999</v>
      </c>
      <c r="G1381">
        <v>-65.991900000000001</v>
      </c>
      <c r="H1381">
        <v>-4</v>
      </c>
      <c r="I1381">
        <v>2.7</v>
      </c>
      <c r="J1381" t="str">
        <f>HYPERLINK("https://climate.onebuilding.org/WMO_Region_4_North_and_Central_America/PRI_Puerto_Rico/CN_Carolina/PRI_CN_San.Juan-Marin.Intl.AP.785260_TMYx.2009-2023.zip")</f>
        <v>https://climate.onebuilding.org/WMO_Region_4_North_and_Central_America/PRI_Puerto_Rico/CN_Carolina/PRI_CN_San.Juan-Marin.Intl.AP.785260_TMYx.2009-2023.zip</v>
      </c>
    </row>
    <row r="1382" spans="1:10" x14ac:dyDescent="0.25">
      <c r="A1382" t="s">
        <v>800</v>
      </c>
      <c r="B1382" t="s">
        <v>807</v>
      </c>
      <c r="C1382" t="s">
        <v>808</v>
      </c>
      <c r="D1382">
        <v>785260</v>
      </c>
      <c r="E1382" t="s">
        <v>10</v>
      </c>
      <c r="F1382">
        <v>18.431699999999999</v>
      </c>
      <c r="G1382">
        <v>-65.991900000000001</v>
      </c>
      <c r="H1382">
        <v>-4</v>
      </c>
      <c r="I1382">
        <v>2.7</v>
      </c>
      <c r="J1382" t="str">
        <f>HYPERLINK("https://climate.onebuilding.org/WMO_Region_4_North_and_Central_America/PRI_Puerto_Rico/CN_Carolina/PRI_CN_San.Juan-Marin.Intl.AP.785260_TMYx.zip")</f>
        <v>https://climate.onebuilding.org/WMO_Region_4_North_and_Central_America/PRI_Puerto_Rico/CN_Carolina/PRI_CN_San.Juan-Marin.Intl.AP.785260_TMYx.zip</v>
      </c>
    </row>
    <row r="1383" spans="1:10" x14ac:dyDescent="0.25">
      <c r="A1383" t="s">
        <v>800</v>
      </c>
      <c r="B1383" t="s">
        <v>105</v>
      </c>
      <c r="C1383" t="s">
        <v>810</v>
      </c>
      <c r="D1383">
        <v>785265</v>
      </c>
      <c r="E1383" t="s">
        <v>811</v>
      </c>
      <c r="F1383">
        <v>18.457000000000001</v>
      </c>
      <c r="G1383">
        <v>-66.097999999999999</v>
      </c>
      <c r="H1383">
        <v>-4</v>
      </c>
      <c r="I1383">
        <v>3</v>
      </c>
      <c r="J1383" t="str">
        <f>HYPERLINK("https://climate.onebuilding.org/WMO_Region_4_North_and_Central_America/PRI_Puerto_Rico/SJ_San_Juan/PRI_SJ_Dominicci.AP-Isla.Grande.AP.785265_TMYx.2004-2018.zip")</f>
        <v>https://climate.onebuilding.org/WMO_Region_4_North_and_Central_America/PRI_Puerto_Rico/SJ_San_Juan/PRI_SJ_Dominicci.AP-Isla.Grande.AP.785265_TMYx.2004-2018.zip</v>
      </c>
    </row>
    <row r="1384" spans="1:10" x14ac:dyDescent="0.25">
      <c r="A1384" t="s">
        <v>800</v>
      </c>
      <c r="B1384" t="s">
        <v>105</v>
      </c>
      <c r="C1384" t="s">
        <v>810</v>
      </c>
      <c r="D1384">
        <v>785265</v>
      </c>
      <c r="E1384" t="s">
        <v>10</v>
      </c>
      <c r="F1384">
        <v>18.457000000000001</v>
      </c>
      <c r="G1384">
        <v>-66.097999999999999</v>
      </c>
      <c r="H1384">
        <v>-4</v>
      </c>
      <c r="I1384">
        <v>3</v>
      </c>
      <c r="J1384" t="str">
        <f>HYPERLINK("https://climate.onebuilding.org/WMO_Region_4_North_and_Central_America/PRI_Puerto_Rico/SJ_San_Juan/PRI_SJ_Dominicci.AP-Isla.Grande.AP.785265_TMYx.2007-2021.zip")</f>
        <v>https://climate.onebuilding.org/WMO_Region_4_North_and_Central_America/PRI_Puerto_Rico/SJ_San_Juan/PRI_SJ_Dominicci.AP-Isla.Grande.AP.785265_TMYx.2007-2021.zip</v>
      </c>
    </row>
    <row r="1385" spans="1:10" x14ac:dyDescent="0.25">
      <c r="A1385" t="s">
        <v>800</v>
      </c>
      <c r="B1385" t="s">
        <v>105</v>
      </c>
      <c r="C1385" t="s">
        <v>810</v>
      </c>
      <c r="D1385">
        <v>785265</v>
      </c>
      <c r="E1385" t="s">
        <v>10</v>
      </c>
      <c r="F1385">
        <v>18.457000000000001</v>
      </c>
      <c r="G1385">
        <v>-66.097999999999999</v>
      </c>
      <c r="H1385">
        <v>-4</v>
      </c>
      <c r="I1385">
        <v>3</v>
      </c>
      <c r="J1385" t="str">
        <f>HYPERLINK("https://climate.onebuilding.org/WMO_Region_4_North_and_Central_America/PRI_Puerto_Rico/SJ_San_Juan/PRI_SJ_Dominicci.AP-Isla.Grande.AP.785265_TMYx.2009-2023.zip")</f>
        <v>https://climate.onebuilding.org/WMO_Region_4_North_and_Central_America/PRI_Puerto_Rico/SJ_San_Juan/PRI_SJ_Dominicci.AP-Isla.Grande.AP.785265_TMYx.2009-2023.zip</v>
      </c>
    </row>
    <row r="1386" spans="1:10" x14ac:dyDescent="0.25">
      <c r="A1386" t="s">
        <v>800</v>
      </c>
      <c r="B1386" t="s">
        <v>105</v>
      </c>
      <c r="C1386" t="s">
        <v>810</v>
      </c>
      <c r="D1386">
        <v>785265</v>
      </c>
      <c r="E1386" t="s">
        <v>10</v>
      </c>
      <c r="F1386">
        <v>18.457000000000001</v>
      </c>
      <c r="G1386">
        <v>-66.097999999999999</v>
      </c>
      <c r="H1386">
        <v>-4</v>
      </c>
      <c r="I1386">
        <v>3</v>
      </c>
      <c r="J1386" t="str">
        <f>HYPERLINK("https://climate.onebuilding.org/WMO_Region_4_North_and_Central_America/PRI_Puerto_Rico/SJ_San_Juan/PRI_SJ_Dominicci.AP-Isla.Grande.AP.785265_TMYx.zip")</f>
        <v>https://climate.onebuilding.org/WMO_Region_4_North_and_Central_America/PRI_Puerto_Rico/SJ_San_Juan/PRI_SJ_Dominicci.AP-Isla.Grande.AP.785265_TMYx.zip</v>
      </c>
    </row>
    <row r="1387" spans="1:10" x14ac:dyDescent="0.25">
      <c r="A1387" t="s">
        <v>800</v>
      </c>
      <c r="B1387" t="s">
        <v>812</v>
      </c>
      <c r="C1387" t="s">
        <v>813</v>
      </c>
      <c r="D1387">
        <v>785350</v>
      </c>
      <c r="E1387" t="s">
        <v>814</v>
      </c>
      <c r="F1387">
        <v>18.254999999999999</v>
      </c>
      <c r="G1387">
        <v>-65.641000000000005</v>
      </c>
      <c r="H1387">
        <v>-4</v>
      </c>
      <c r="I1387">
        <v>12</v>
      </c>
      <c r="J1387" t="str">
        <f>HYPERLINK("https://climate.onebuilding.org/WMO_Region_4_North_and_Central_America/PRI_Puerto_Rico/CB_Ceiba/PRI_CB_Ceiba-Aponte-De.La.Torre.AP.785350_TMYx.2004-2018.zip")</f>
        <v>https://climate.onebuilding.org/WMO_Region_4_North_and_Central_America/PRI_Puerto_Rico/CB_Ceiba/PRI_CB_Ceiba-Aponte-De.La.Torre.AP.785350_TMYx.2004-2018.zip</v>
      </c>
    </row>
    <row r="1388" spans="1:10" x14ac:dyDescent="0.25">
      <c r="A1388" t="s">
        <v>800</v>
      </c>
      <c r="B1388" t="s">
        <v>812</v>
      </c>
      <c r="C1388" t="s">
        <v>813</v>
      </c>
      <c r="D1388">
        <v>785350</v>
      </c>
      <c r="E1388" t="s">
        <v>10</v>
      </c>
      <c r="F1388">
        <v>18.254999999999999</v>
      </c>
      <c r="G1388">
        <v>-65.641000000000005</v>
      </c>
      <c r="H1388">
        <v>-4</v>
      </c>
      <c r="I1388">
        <v>12</v>
      </c>
      <c r="J1388" t="str">
        <f>HYPERLINK("https://climate.onebuilding.org/WMO_Region_4_North_and_Central_America/PRI_Puerto_Rico/CB_Ceiba/PRI_CB_Ceiba-Aponte-De.La.Torre.AP.785350_TMYx.2007-2021.zip")</f>
        <v>https://climate.onebuilding.org/WMO_Region_4_North_and_Central_America/PRI_Puerto_Rico/CB_Ceiba/PRI_CB_Ceiba-Aponte-De.La.Torre.AP.785350_TMYx.2007-2021.zip</v>
      </c>
    </row>
    <row r="1389" spans="1:10" x14ac:dyDescent="0.25">
      <c r="A1389" t="s">
        <v>800</v>
      </c>
      <c r="B1389" t="s">
        <v>812</v>
      </c>
      <c r="C1389" t="s">
        <v>813</v>
      </c>
      <c r="D1389">
        <v>785350</v>
      </c>
      <c r="E1389" t="s">
        <v>10</v>
      </c>
      <c r="F1389">
        <v>18.254999999999999</v>
      </c>
      <c r="G1389">
        <v>-65.641000000000005</v>
      </c>
      <c r="H1389">
        <v>-4</v>
      </c>
      <c r="I1389">
        <v>12</v>
      </c>
      <c r="J1389" t="str">
        <f>HYPERLINK("https://climate.onebuilding.org/WMO_Region_4_North_and_Central_America/PRI_Puerto_Rico/CB_Ceiba/PRI_CB_Ceiba-Aponte-De.La.Torre.AP.785350_TMYx.2009-2023.zip")</f>
        <v>https://climate.onebuilding.org/WMO_Region_4_North_and_Central_America/PRI_Puerto_Rico/CB_Ceiba/PRI_CB_Ceiba-Aponte-De.La.Torre.AP.785350_TMYx.2009-2023.zip</v>
      </c>
    </row>
    <row r="1390" spans="1:10" x14ac:dyDescent="0.25">
      <c r="A1390" t="s">
        <v>800</v>
      </c>
      <c r="B1390" t="s">
        <v>812</v>
      </c>
      <c r="C1390" t="s">
        <v>813</v>
      </c>
      <c r="D1390">
        <v>785350</v>
      </c>
      <c r="E1390" t="s">
        <v>10</v>
      </c>
      <c r="F1390">
        <v>18.254999999999999</v>
      </c>
      <c r="G1390">
        <v>-65.641000000000005</v>
      </c>
      <c r="H1390">
        <v>-4</v>
      </c>
      <c r="I1390">
        <v>12</v>
      </c>
      <c r="J1390" t="str">
        <f>HYPERLINK("https://climate.onebuilding.org/WMO_Region_4_North_and_Central_America/PRI_Puerto_Rico/CB_Ceiba/PRI_CB_Ceiba-Aponte-De.La.Torre.AP.785350_TMYx.zip")</f>
        <v>https://climate.onebuilding.org/WMO_Region_4_North_and_Central_America/PRI_Puerto_Rico/CB_Ceiba/PRI_CB_Ceiba-Aponte-De.La.Torre.AP.785350_TMYx.zip</v>
      </c>
    </row>
    <row r="1391" spans="1:10" x14ac:dyDescent="0.25">
      <c r="A1391" t="s">
        <v>800</v>
      </c>
      <c r="B1391" t="s">
        <v>812</v>
      </c>
      <c r="C1391" t="s">
        <v>815</v>
      </c>
      <c r="D1391">
        <v>785355</v>
      </c>
      <c r="E1391" t="s">
        <v>18</v>
      </c>
      <c r="F1391">
        <v>18.382999999999999</v>
      </c>
      <c r="G1391">
        <v>-65.617000000000004</v>
      </c>
      <c r="H1391">
        <v>-4</v>
      </c>
      <c r="I1391">
        <v>22</v>
      </c>
      <c r="J1391" t="str">
        <f>HYPERLINK("https://climate.onebuilding.org/WMO_Region_4_North_and_Central_America/PRI_Puerto_Rico/CB_Ceiba/PRI_CB_Cape.San.Juan.CGLS.785355_TMYx.2007-2021.zip")</f>
        <v>https://climate.onebuilding.org/WMO_Region_4_North_and_Central_America/PRI_Puerto_Rico/CB_Ceiba/PRI_CB_Cape.San.Juan.CGLS.785355_TMYx.2007-2021.zip</v>
      </c>
    </row>
    <row r="1392" spans="1:10" x14ac:dyDescent="0.25">
      <c r="A1392" t="s">
        <v>800</v>
      </c>
      <c r="B1392" t="s">
        <v>812</v>
      </c>
      <c r="C1392" t="s">
        <v>815</v>
      </c>
      <c r="D1392">
        <v>785355</v>
      </c>
      <c r="E1392" t="s">
        <v>18</v>
      </c>
      <c r="F1392">
        <v>18.382999999999999</v>
      </c>
      <c r="G1392">
        <v>-65.617000000000004</v>
      </c>
      <c r="H1392">
        <v>-4</v>
      </c>
      <c r="I1392">
        <v>22</v>
      </c>
      <c r="J1392" t="str">
        <f>HYPERLINK("https://climate.onebuilding.org/WMO_Region_4_North_and_Central_America/PRI_Puerto_Rico/CB_Ceiba/PRI_CB_Cape.San.Juan.CGLS.785355_TMYx.2009-2023.zip")</f>
        <v>https://climate.onebuilding.org/WMO_Region_4_North_and_Central_America/PRI_Puerto_Rico/CB_Ceiba/PRI_CB_Cape.San.Juan.CGLS.785355_TMYx.2009-2023.zip</v>
      </c>
    </row>
    <row r="1393" spans="1:10" x14ac:dyDescent="0.25">
      <c r="A1393" t="s">
        <v>800</v>
      </c>
      <c r="B1393" t="s">
        <v>812</v>
      </c>
      <c r="C1393" t="s">
        <v>815</v>
      </c>
      <c r="D1393">
        <v>785355</v>
      </c>
      <c r="E1393" t="s">
        <v>18</v>
      </c>
      <c r="F1393">
        <v>18.382999999999999</v>
      </c>
      <c r="G1393">
        <v>-65.617000000000004</v>
      </c>
      <c r="H1393">
        <v>-4</v>
      </c>
      <c r="I1393">
        <v>22</v>
      </c>
      <c r="J1393" t="str">
        <f>HYPERLINK("https://climate.onebuilding.org/WMO_Region_4_North_and_Central_America/PRI_Puerto_Rico/CB_Ceiba/PRI_CB_Cape.San.Juan.CGLS.785355_TMYx.zip")</f>
        <v>https://climate.onebuilding.org/WMO_Region_4_North_and_Central_America/PRI_Puerto_Rico/CB_Ceiba/PRI_CB_Cape.San.Juan.CGLS.785355_TMYx.zip</v>
      </c>
    </row>
    <row r="1394" spans="1:10" x14ac:dyDescent="0.25">
      <c r="A1394" t="s">
        <v>800</v>
      </c>
      <c r="B1394" t="s">
        <v>105</v>
      </c>
      <c r="C1394" t="s">
        <v>816</v>
      </c>
      <c r="D1394">
        <v>994043</v>
      </c>
      <c r="E1394" t="s">
        <v>817</v>
      </c>
      <c r="F1394">
        <v>18.470099999999999</v>
      </c>
      <c r="G1394">
        <v>-66.119900000000001</v>
      </c>
      <c r="H1394">
        <v>-4</v>
      </c>
      <c r="I1394">
        <v>7</v>
      </c>
      <c r="J1394" t="str">
        <f>HYPERLINK("https://climate.onebuilding.org/WMO_Region_4_North_and_Central_America/PRI_Puerto_Rico/SJ_San_Juan/PRI_SJ_San.Juan.994043_TMYx.2004-2018.zip")</f>
        <v>https://climate.onebuilding.org/WMO_Region_4_North_and_Central_America/PRI_Puerto_Rico/SJ_San_Juan/PRI_SJ_San.Juan.994043_TMYx.2004-2018.zip</v>
      </c>
    </row>
    <row r="1395" spans="1:10" x14ac:dyDescent="0.25">
      <c r="A1395" t="s">
        <v>800</v>
      </c>
      <c r="B1395" t="s">
        <v>105</v>
      </c>
      <c r="C1395" t="s">
        <v>816</v>
      </c>
      <c r="D1395">
        <v>994043</v>
      </c>
      <c r="E1395" t="s">
        <v>10</v>
      </c>
      <c r="F1395">
        <v>18.459</v>
      </c>
      <c r="G1395">
        <v>-66.116</v>
      </c>
      <c r="H1395">
        <v>-4</v>
      </c>
      <c r="I1395">
        <v>7</v>
      </c>
      <c r="J1395" t="str">
        <f>HYPERLINK("https://climate.onebuilding.org/WMO_Region_4_North_and_Central_America/PRI_Puerto_Rico/SJ_San_Juan/PRI_SJ_San.Juan.994043_TMYx.2007-2021.zip")</f>
        <v>https://climate.onebuilding.org/WMO_Region_4_North_and_Central_America/PRI_Puerto_Rico/SJ_San_Juan/PRI_SJ_San.Juan.994043_TMYx.2007-2021.zip</v>
      </c>
    </row>
    <row r="1396" spans="1:10" x14ac:dyDescent="0.25">
      <c r="A1396" t="s">
        <v>800</v>
      </c>
      <c r="B1396" t="s">
        <v>105</v>
      </c>
      <c r="C1396" t="s">
        <v>816</v>
      </c>
      <c r="D1396">
        <v>994043</v>
      </c>
      <c r="E1396" t="s">
        <v>10</v>
      </c>
      <c r="F1396">
        <v>18.459</v>
      </c>
      <c r="G1396">
        <v>-66.116</v>
      </c>
      <c r="H1396">
        <v>-4</v>
      </c>
      <c r="I1396">
        <v>7</v>
      </c>
      <c r="J1396" t="str">
        <f>HYPERLINK("https://climate.onebuilding.org/WMO_Region_4_North_and_Central_America/PRI_Puerto_Rico/SJ_San_Juan/PRI_SJ_San.Juan.994043_TMYx.2009-2023.zip")</f>
        <v>https://climate.onebuilding.org/WMO_Region_4_North_and_Central_America/PRI_Puerto_Rico/SJ_San_Juan/PRI_SJ_San.Juan.994043_TMYx.2009-2023.zip</v>
      </c>
    </row>
    <row r="1397" spans="1:10" x14ac:dyDescent="0.25">
      <c r="A1397" t="s">
        <v>800</v>
      </c>
      <c r="B1397" t="s">
        <v>105</v>
      </c>
      <c r="C1397" t="s">
        <v>816</v>
      </c>
      <c r="D1397">
        <v>994043</v>
      </c>
      <c r="E1397" t="s">
        <v>10</v>
      </c>
      <c r="F1397">
        <v>18.459</v>
      </c>
      <c r="G1397">
        <v>-66.116</v>
      </c>
      <c r="H1397">
        <v>-4</v>
      </c>
      <c r="I1397">
        <v>7</v>
      </c>
      <c r="J1397" t="str">
        <f>HYPERLINK("https://climate.onebuilding.org/WMO_Region_4_North_and_Central_America/PRI_Puerto_Rico/SJ_San_Juan/PRI_SJ_San.Juan.994043_TMYx.zip")</f>
        <v>https://climate.onebuilding.org/WMO_Region_4_North_and_Central_America/PRI_Puerto_Rico/SJ_San_Juan/PRI_SJ_San.Juan.994043_TMYx.zip</v>
      </c>
    </row>
    <row r="1398" spans="1:10" x14ac:dyDescent="0.25">
      <c r="A1398" t="s">
        <v>800</v>
      </c>
      <c r="B1398" t="s">
        <v>818</v>
      </c>
      <c r="C1398" t="s">
        <v>819</v>
      </c>
      <c r="D1398">
        <v>997350</v>
      </c>
      <c r="E1398" t="s">
        <v>820</v>
      </c>
      <c r="F1398">
        <v>17.97</v>
      </c>
      <c r="G1398">
        <v>-67.05</v>
      </c>
      <c r="H1398">
        <v>-4</v>
      </c>
      <c r="I1398">
        <v>5</v>
      </c>
      <c r="J1398" t="str">
        <f>HYPERLINK("https://climate.onebuilding.org/WMO_Region_4_North_and_Central_America/PRI_Puerto_Rico/LJ_Lajas/PRI_LJ_Maguesyes.Islands.997350_TMYx.2004-2018.zip")</f>
        <v>https://climate.onebuilding.org/WMO_Region_4_North_and_Central_America/PRI_Puerto_Rico/LJ_Lajas/PRI_LJ_Maguesyes.Islands.997350_TMYx.2004-2018.zip</v>
      </c>
    </row>
    <row r="1399" spans="1:10" x14ac:dyDescent="0.25">
      <c r="A1399" t="s">
        <v>800</v>
      </c>
      <c r="B1399" t="s">
        <v>818</v>
      </c>
      <c r="C1399" t="s">
        <v>819</v>
      </c>
      <c r="D1399">
        <v>997350</v>
      </c>
      <c r="E1399" t="s">
        <v>10</v>
      </c>
      <c r="F1399">
        <v>17.97</v>
      </c>
      <c r="G1399">
        <v>-67.046400000000006</v>
      </c>
      <c r="H1399">
        <v>-4</v>
      </c>
      <c r="I1399">
        <v>5</v>
      </c>
      <c r="J1399" t="str">
        <f>HYPERLINK("https://climate.onebuilding.org/WMO_Region_4_North_and_Central_America/PRI_Puerto_Rico/LJ_Lajas/PRI_LJ_Maguesyes.Islands.997350_TMYx.2007-2021.zip")</f>
        <v>https://climate.onebuilding.org/WMO_Region_4_North_and_Central_America/PRI_Puerto_Rico/LJ_Lajas/PRI_LJ_Maguesyes.Islands.997350_TMYx.2007-2021.zip</v>
      </c>
    </row>
    <row r="1400" spans="1:10" x14ac:dyDescent="0.25">
      <c r="A1400" t="s">
        <v>800</v>
      </c>
      <c r="B1400" t="s">
        <v>818</v>
      </c>
      <c r="C1400" t="s">
        <v>819</v>
      </c>
      <c r="D1400">
        <v>997350</v>
      </c>
      <c r="E1400" t="s">
        <v>10</v>
      </c>
      <c r="F1400">
        <v>17.97</v>
      </c>
      <c r="G1400">
        <v>-67.046400000000006</v>
      </c>
      <c r="H1400">
        <v>-4</v>
      </c>
      <c r="I1400">
        <v>5</v>
      </c>
      <c r="J1400" t="str">
        <f>HYPERLINK("https://climate.onebuilding.org/WMO_Region_4_North_and_Central_America/PRI_Puerto_Rico/LJ_Lajas/PRI_LJ_Maguesyes.Islands.997350_TMYx.2009-2023.zip")</f>
        <v>https://climate.onebuilding.org/WMO_Region_4_North_and_Central_America/PRI_Puerto_Rico/LJ_Lajas/PRI_LJ_Maguesyes.Islands.997350_TMYx.2009-2023.zip</v>
      </c>
    </row>
    <row r="1401" spans="1:10" x14ac:dyDescent="0.25">
      <c r="A1401" t="s">
        <v>800</v>
      </c>
      <c r="B1401" t="s">
        <v>818</v>
      </c>
      <c r="C1401" t="s">
        <v>819</v>
      </c>
      <c r="D1401">
        <v>997350</v>
      </c>
      <c r="E1401" t="s">
        <v>10</v>
      </c>
      <c r="F1401">
        <v>17.97</v>
      </c>
      <c r="G1401">
        <v>-67.046400000000006</v>
      </c>
      <c r="H1401">
        <v>-4</v>
      </c>
      <c r="I1401">
        <v>5</v>
      </c>
      <c r="J1401" t="str">
        <f>HYPERLINK("https://climate.onebuilding.org/WMO_Region_4_North_and_Central_America/PRI_Puerto_Rico/LJ_Lajas/PRI_LJ_Maguesyes.Islands.997350_TMYx.zip")</f>
        <v>https://climate.onebuilding.org/WMO_Region_4_North_and_Central_America/PRI_Puerto_Rico/LJ_Lajas/PRI_LJ_Maguesyes.Islands.997350_TMYx.zip</v>
      </c>
    </row>
    <row r="1402" spans="1:10" x14ac:dyDescent="0.25">
      <c r="A1402" t="s">
        <v>800</v>
      </c>
      <c r="B1402" t="s">
        <v>87</v>
      </c>
      <c r="C1402" t="s">
        <v>821</v>
      </c>
      <c r="D1402">
        <v>998003</v>
      </c>
      <c r="E1402" t="s">
        <v>822</v>
      </c>
      <c r="F1402">
        <v>17.95</v>
      </c>
      <c r="G1402">
        <v>-66.233000000000004</v>
      </c>
      <c r="H1402">
        <v>-4</v>
      </c>
      <c r="I1402">
        <v>15</v>
      </c>
      <c r="J1402" t="str">
        <f>HYPERLINK("https://climate.onebuilding.org/WMO_Region_4_North_and_Central_America/PRI_Puerto_Rico/SA_Salinas/PRI_SA_Jobos.Bay.Reserve.998003_TMYx.2004-2018.zip")</f>
        <v>https://climate.onebuilding.org/WMO_Region_4_North_and_Central_America/PRI_Puerto_Rico/SA_Salinas/PRI_SA_Jobos.Bay.Reserve.998003_TMYx.2004-2018.zip</v>
      </c>
    </row>
    <row r="1403" spans="1:10" x14ac:dyDescent="0.25">
      <c r="A1403" t="s">
        <v>800</v>
      </c>
      <c r="B1403" t="s">
        <v>87</v>
      </c>
      <c r="C1403" t="s">
        <v>821</v>
      </c>
      <c r="D1403">
        <v>998003</v>
      </c>
      <c r="E1403" t="s">
        <v>10</v>
      </c>
      <c r="F1403">
        <v>17.95</v>
      </c>
      <c r="G1403">
        <v>-66.233000000000004</v>
      </c>
      <c r="H1403">
        <v>-4</v>
      </c>
      <c r="I1403">
        <v>15</v>
      </c>
      <c r="J1403" t="str">
        <f>HYPERLINK("https://climate.onebuilding.org/WMO_Region_4_North_and_Central_America/PRI_Puerto_Rico/SA_Salinas/PRI_SA_Jobos.Bay.Reserve.998003_TMYx.2007-2021.zip")</f>
        <v>https://climate.onebuilding.org/WMO_Region_4_North_and_Central_America/PRI_Puerto_Rico/SA_Salinas/PRI_SA_Jobos.Bay.Reserve.998003_TMYx.2007-2021.zip</v>
      </c>
    </row>
    <row r="1404" spans="1:10" x14ac:dyDescent="0.25">
      <c r="A1404" t="s">
        <v>800</v>
      </c>
      <c r="B1404" t="s">
        <v>87</v>
      </c>
      <c r="C1404" t="s">
        <v>821</v>
      </c>
      <c r="D1404">
        <v>998003</v>
      </c>
      <c r="E1404" t="s">
        <v>10</v>
      </c>
      <c r="F1404">
        <v>17.95</v>
      </c>
      <c r="G1404">
        <v>-66.233000000000004</v>
      </c>
      <c r="H1404">
        <v>-4</v>
      </c>
      <c r="I1404">
        <v>15</v>
      </c>
      <c r="J1404" t="str">
        <f>HYPERLINK("https://climate.onebuilding.org/WMO_Region_4_North_and_Central_America/PRI_Puerto_Rico/SA_Salinas/PRI_SA_Jobos.Bay.Reserve.998003_TMYx.2009-2023.zip")</f>
        <v>https://climate.onebuilding.org/WMO_Region_4_North_and_Central_America/PRI_Puerto_Rico/SA_Salinas/PRI_SA_Jobos.Bay.Reserve.998003_TMYx.2009-2023.zip</v>
      </c>
    </row>
    <row r="1405" spans="1:10" x14ac:dyDescent="0.25">
      <c r="A1405" t="s">
        <v>800</v>
      </c>
      <c r="B1405" t="s">
        <v>87</v>
      </c>
      <c r="C1405" t="s">
        <v>821</v>
      </c>
      <c r="D1405">
        <v>998003</v>
      </c>
      <c r="E1405" t="s">
        <v>10</v>
      </c>
      <c r="F1405">
        <v>17.95</v>
      </c>
      <c r="G1405">
        <v>-66.233000000000004</v>
      </c>
      <c r="H1405">
        <v>-4</v>
      </c>
      <c r="I1405">
        <v>15</v>
      </c>
      <c r="J1405" t="str">
        <f>HYPERLINK("https://climate.onebuilding.org/WMO_Region_4_North_and_Central_America/PRI_Puerto_Rico/SA_Salinas/PRI_SA_Jobos.Bay.Reserve.998003_TMYx.zip")</f>
        <v>https://climate.onebuilding.org/WMO_Region_4_North_and_Central_America/PRI_Puerto_Rico/SA_Salinas/PRI_SA_Jobos.Bay.Reserve.998003_TMYx.zip</v>
      </c>
    </row>
    <row r="1406" spans="1:10" x14ac:dyDescent="0.25">
      <c r="A1406" t="s">
        <v>800</v>
      </c>
      <c r="B1406" t="s">
        <v>823</v>
      </c>
      <c r="C1406" t="s">
        <v>824</v>
      </c>
      <c r="D1406">
        <v>998246</v>
      </c>
      <c r="E1406" t="s">
        <v>825</v>
      </c>
      <c r="F1406">
        <v>18.483000000000001</v>
      </c>
      <c r="G1406">
        <v>-66.7</v>
      </c>
      <c r="H1406">
        <v>-4</v>
      </c>
      <c r="I1406">
        <v>3</v>
      </c>
      <c r="J1406" t="str">
        <f>HYPERLINK("https://climate.onebuilding.org/WMO_Region_4_North_and_Central_America/PRI_Puerto_Rico/AC_Arecibo/PRI_AC_Arecibo.998246_TMYx.2004-2018.zip")</f>
        <v>https://climate.onebuilding.org/WMO_Region_4_North_and_Central_America/PRI_Puerto_Rico/AC_Arecibo/PRI_AC_Arecibo.998246_TMYx.2004-2018.zip</v>
      </c>
    </row>
    <row r="1407" spans="1:10" x14ac:dyDescent="0.25">
      <c r="A1407" t="s">
        <v>800</v>
      </c>
      <c r="B1407" t="s">
        <v>823</v>
      </c>
      <c r="C1407" t="s">
        <v>824</v>
      </c>
      <c r="D1407">
        <v>998246</v>
      </c>
      <c r="E1407" t="s">
        <v>10</v>
      </c>
      <c r="F1407">
        <v>18.483000000000001</v>
      </c>
      <c r="G1407">
        <v>-66.7</v>
      </c>
      <c r="H1407">
        <v>-4</v>
      </c>
      <c r="I1407">
        <v>3</v>
      </c>
      <c r="J1407" t="str">
        <f>HYPERLINK("https://climate.onebuilding.org/WMO_Region_4_North_and_Central_America/PRI_Puerto_Rico/AC_Arecibo/PRI_AC_Arecibo.998246_TMYx.2007-2021.zip")</f>
        <v>https://climate.onebuilding.org/WMO_Region_4_North_and_Central_America/PRI_Puerto_Rico/AC_Arecibo/PRI_AC_Arecibo.998246_TMYx.2007-2021.zip</v>
      </c>
    </row>
    <row r="1408" spans="1:10" x14ac:dyDescent="0.25">
      <c r="A1408" t="s">
        <v>800</v>
      </c>
      <c r="B1408" t="s">
        <v>823</v>
      </c>
      <c r="C1408" t="s">
        <v>824</v>
      </c>
      <c r="D1408">
        <v>998246</v>
      </c>
      <c r="E1408" t="s">
        <v>10</v>
      </c>
      <c r="F1408">
        <v>18.483000000000001</v>
      </c>
      <c r="G1408">
        <v>-66.7</v>
      </c>
      <c r="H1408">
        <v>-4</v>
      </c>
      <c r="I1408">
        <v>3</v>
      </c>
      <c r="J1408" t="str">
        <f>HYPERLINK("https://climate.onebuilding.org/WMO_Region_4_North_and_Central_America/PRI_Puerto_Rico/AC_Arecibo/PRI_AC_Arecibo.998246_TMYx.2009-2023.zip")</f>
        <v>https://climate.onebuilding.org/WMO_Region_4_North_and_Central_America/PRI_Puerto_Rico/AC_Arecibo/PRI_AC_Arecibo.998246_TMYx.2009-2023.zip</v>
      </c>
    </row>
    <row r="1409" spans="1:10" x14ac:dyDescent="0.25">
      <c r="A1409" t="s">
        <v>800</v>
      </c>
      <c r="B1409" t="s">
        <v>823</v>
      </c>
      <c r="C1409" t="s">
        <v>824</v>
      </c>
      <c r="D1409">
        <v>998246</v>
      </c>
      <c r="E1409" t="s">
        <v>10</v>
      </c>
      <c r="F1409">
        <v>18.483000000000001</v>
      </c>
      <c r="G1409">
        <v>-66.7</v>
      </c>
      <c r="H1409">
        <v>-4</v>
      </c>
      <c r="I1409">
        <v>3</v>
      </c>
      <c r="J1409" t="str">
        <f>HYPERLINK("https://climate.onebuilding.org/WMO_Region_4_North_and_Central_America/PRI_Puerto_Rico/AC_Arecibo/PRI_AC_Arecibo.998246_TMYx.zip")</f>
        <v>https://climate.onebuilding.org/WMO_Region_4_North_and_Central_America/PRI_Puerto_Rico/AC_Arecibo/PRI_AC_Arecibo.998246_TMYx.zip</v>
      </c>
    </row>
    <row r="1410" spans="1:10" x14ac:dyDescent="0.25">
      <c r="A1410" t="s">
        <v>800</v>
      </c>
      <c r="B1410" t="s">
        <v>826</v>
      </c>
      <c r="C1410" t="s">
        <v>827</v>
      </c>
      <c r="D1410">
        <v>998247</v>
      </c>
      <c r="E1410" t="s">
        <v>828</v>
      </c>
      <c r="F1410">
        <v>18.332999999999998</v>
      </c>
      <c r="G1410">
        <v>-65.632999999999996</v>
      </c>
      <c r="H1410">
        <v>-4</v>
      </c>
      <c r="I1410">
        <v>3</v>
      </c>
      <c r="J1410" t="str">
        <f>HYPERLINK("https://climate.onebuilding.org/WMO_Region_4_North_and_Central_America/PRI_Puerto_Rico/FJ_Fajardo/PRI_FJ_Fajardo.998247_TMYx.2004-2018.zip")</f>
        <v>https://climate.onebuilding.org/WMO_Region_4_North_and_Central_America/PRI_Puerto_Rico/FJ_Fajardo/PRI_FJ_Fajardo.998247_TMYx.2004-2018.zip</v>
      </c>
    </row>
    <row r="1411" spans="1:10" x14ac:dyDescent="0.25">
      <c r="A1411" t="s">
        <v>800</v>
      </c>
      <c r="B1411" t="s">
        <v>826</v>
      </c>
      <c r="C1411" t="s">
        <v>827</v>
      </c>
      <c r="D1411">
        <v>998247</v>
      </c>
      <c r="E1411" t="s">
        <v>10</v>
      </c>
      <c r="F1411">
        <v>18.332999999999998</v>
      </c>
      <c r="G1411">
        <v>-65.632999999999996</v>
      </c>
      <c r="H1411">
        <v>-4</v>
      </c>
      <c r="I1411">
        <v>3</v>
      </c>
      <c r="J1411" t="str">
        <f>HYPERLINK("https://climate.onebuilding.org/WMO_Region_4_North_and_Central_America/PRI_Puerto_Rico/FJ_Fajardo/PRI_FJ_Fajardo.998247_TMYx.2007-2021.zip")</f>
        <v>https://climate.onebuilding.org/WMO_Region_4_North_and_Central_America/PRI_Puerto_Rico/FJ_Fajardo/PRI_FJ_Fajardo.998247_TMYx.2007-2021.zip</v>
      </c>
    </row>
    <row r="1412" spans="1:10" x14ac:dyDescent="0.25">
      <c r="A1412" t="s">
        <v>800</v>
      </c>
      <c r="B1412" t="s">
        <v>826</v>
      </c>
      <c r="C1412" t="s">
        <v>827</v>
      </c>
      <c r="D1412">
        <v>998247</v>
      </c>
      <c r="E1412" t="s">
        <v>10</v>
      </c>
      <c r="F1412">
        <v>18.332999999999998</v>
      </c>
      <c r="G1412">
        <v>-65.632999999999996</v>
      </c>
      <c r="H1412">
        <v>-4</v>
      </c>
      <c r="I1412">
        <v>3</v>
      </c>
      <c r="J1412" t="str">
        <f>HYPERLINK("https://climate.onebuilding.org/WMO_Region_4_North_and_Central_America/PRI_Puerto_Rico/FJ_Fajardo/PRI_FJ_Fajardo.998247_TMYx.2009-2023.zip")</f>
        <v>https://climate.onebuilding.org/WMO_Region_4_North_and_Central_America/PRI_Puerto_Rico/FJ_Fajardo/PRI_FJ_Fajardo.998247_TMYx.2009-2023.zip</v>
      </c>
    </row>
    <row r="1413" spans="1:10" x14ac:dyDescent="0.25">
      <c r="A1413" t="s">
        <v>800</v>
      </c>
      <c r="B1413" t="s">
        <v>826</v>
      </c>
      <c r="C1413" t="s">
        <v>827</v>
      </c>
      <c r="D1413">
        <v>998247</v>
      </c>
      <c r="E1413" t="s">
        <v>10</v>
      </c>
      <c r="F1413">
        <v>18.332999999999998</v>
      </c>
      <c r="G1413">
        <v>-65.632999999999996</v>
      </c>
      <c r="H1413">
        <v>-4</v>
      </c>
      <c r="I1413">
        <v>3</v>
      </c>
      <c r="J1413" t="str">
        <f>HYPERLINK("https://climate.onebuilding.org/WMO_Region_4_North_and_Central_America/PRI_Puerto_Rico/FJ_Fajardo/PRI_FJ_Fajardo.998247_TMYx.zip")</f>
        <v>https://climate.onebuilding.org/WMO_Region_4_North_and_Central_America/PRI_Puerto_Rico/FJ_Fajardo/PRI_FJ_Fajardo.998247_TMYx.zip</v>
      </c>
    </row>
    <row r="1414" spans="1:10" x14ac:dyDescent="0.25">
      <c r="A1414" t="s">
        <v>800</v>
      </c>
      <c r="B1414" t="s">
        <v>70</v>
      </c>
      <c r="C1414" t="s">
        <v>829</v>
      </c>
      <c r="D1414">
        <v>998248</v>
      </c>
      <c r="E1414" t="s">
        <v>830</v>
      </c>
      <c r="F1414">
        <v>18.216999999999999</v>
      </c>
      <c r="G1414">
        <v>-67.150000000000006</v>
      </c>
      <c r="H1414">
        <v>-4</v>
      </c>
      <c r="I1414">
        <v>3</v>
      </c>
      <c r="J1414" t="str">
        <f>HYPERLINK("https://climate.onebuilding.org/WMO_Region_4_North_and_Central_America/PRI_Puerto_Rico/MG_Mayaguez/PRI_MG_Mayaguez.998248_TMYx.2004-2018.zip")</f>
        <v>https://climate.onebuilding.org/WMO_Region_4_North_and_Central_America/PRI_Puerto_Rico/MG_Mayaguez/PRI_MG_Mayaguez.998248_TMYx.2004-2018.zip</v>
      </c>
    </row>
    <row r="1415" spans="1:10" x14ac:dyDescent="0.25">
      <c r="A1415" t="s">
        <v>800</v>
      </c>
      <c r="B1415" t="s">
        <v>70</v>
      </c>
      <c r="C1415" t="s">
        <v>829</v>
      </c>
      <c r="D1415">
        <v>998248</v>
      </c>
      <c r="E1415" t="s">
        <v>10</v>
      </c>
      <c r="F1415">
        <v>18.216999999999999</v>
      </c>
      <c r="G1415">
        <v>-67.150000000000006</v>
      </c>
      <c r="H1415">
        <v>-4</v>
      </c>
      <c r="I1415">
        <v>3</v>
      </c>
      <c r="J1415" t="str">
        <f>HYPERLINK("https://climate.onebuilding.org/WMO_Region_4_North_and_Central_America/PRI_Puerto_Rico/MG_Mayaguez/PRI_MG_Mayaguez.998248_TMYx.2007-2021.zip")</f>
        <v>https://climate.onebuilding.org/WMO_Region_4_North_and_Central_America/PRI_Puerto_Rico/MG_Mayaguez/PRI_MG_Mayaguez.998248_TMYx.2007-2021.zip</v>
      </c>
    </row>
    <row r="1416" spans="1:10" x14ac:dyDescent="0.25">
      <c r="A1416" t="s">
        <v>800</v>
      </c>
      <c r="B1416" t="s">
        <v>70</v>
      </c>
      <c r="C1416" t="s">
        <v>829</v>
      </c>
      <c r="D1416">
        <v>998248</v>
      </c>
      <c r="E1416" t="s">
        <v>10</v>
      </c>
      <c r="F1416">
        <v>18.216999999999999</v>
      </c>
      <c r="G1416">
        <v>-67.150000000000006</v>
      </c>
      <c r="H1416">
        <v>-4</v>
      </c>
      <c r="I1416">
        <v>3</v>
      </c>
      <c r="J1416" t="str">
        <f>HYPERLINK("https://climate.onebuilding.org/WMO_Region_4_North_and_Central_America/PRI_Puerto_Rico/MG_Mayaguez/PRI_MG_Mayaguez.998248_TMYx.2009-2023.zip")</f>
        <v>https://climate.onebuilding.org/WMO_Region_4_North_and_Central_America/PRI_Puerto_Rico/MG_Mayaguez/PRI_MG_Mayaguez.998248_TMYx.2009-2023.zip</v>
      </c>
    </row>
    <row r="1417" spans="1:10" x14ac:dyDescent="0.25">
      <c r="A1417" t="s">
        <v>800</v>
      </c>
      <c r="B1417" t="s">
        <v>70</v>
      </c>
      <c r="C1417" t="s">
        <v>829</v>
      </c>
      <c r="D1417">
        <v>998248</v>
      </c>
      <c r="E1417" t="s">
        <v>10</v>
      </c>
      <c r="F1417">
        <v>18.216999999999999</v>
      </c>
      <c r="G1417">
        <v>-67.150000000000006</v>
      </c>
      <c r="H1417">
        <v>-4</v>
      </c>
      <c r="I1417">
        <v>3</v>
      </c>
      <c r="J1417" t="str">
        <f>HYPERLINK("https://climate.onebuilding.org/WMO_Region_4_North_and_Central_America/PRI_Puerto_Rico/MG_Mayaguez/PRI_MG_Mayaguez.998248_TMYx.zip")</f>
        <v>https://climate.onebuilding.org/WMO_Region_4_North_and_Central_America/PRI_Puerto_Rico/MG_Mayaguez/PRI_MG_Mayaguez.998248_TMYx.zip</v>
      </c>
    </row>
    <row r="1418" spans="1:10" x14ac:dyDescent="0.25">
      <c r="A1418" t="s">
        <v>800</v>
      </c>
      <c r="B1418" t="s">
        <v>831</v>
      </c>
      <c r="C1418" t="s">
        <v>832</v>
      </c>
      <c r="D1418">
        <v>998249</v>
      </c>
      <c r="E1418" t="s">
        <v>18</v>
      </c>
      <c r="F1418">
        <v>17.966999999999999</v>
      </c>
      <c r="G1418">
        <v>-66.766999999999996</v>
      </c>
      <c r="H1418">
        <v>-4</v>
      </c>
      <c r="I1418">
        <v>3</v>
      </c>
      <c r="J1418" t="str">
        <f>HYPERLINK("https://climate.onebuilding.org/WMO_Region_4_North_and_Central_America/PRI_Puerto_Rico/GL_Guayanilla/PRI_GL_Penuelas.998249_TMYx.2007-2021.zip")</f>
        <v>https://climate.onebuilding.org/WMO_Region_4_North_and_Central_America/PRI_Puerto_Rico/GL_Guayanilla/PRI_GL_Penuelas.998249_TMYx.2007-2021.zip</v>
      </c>
    </row>
    <row r="1419" spans="1:10" x14ac:dyDescent="0.25">
      <c r="A1419" t="s">
        <v>800</v>
      </c>
      <c r="B1419" t="s">
        <v>831</v>
      </c>
      <c r="C1419" t="s">
        <v>832</v>
      </c>
      <c r="D1419">
        <v>998249</v>
      </c>
      <c r="E1419" t="s">
        <v>18</v>
      </c>
      <c r="F1419">
        <v>17.966999999999999</v>
      </c>
      <c r="G1419">
        <v>-66.766999999999996</v>
      </c>
      <c r="H1419">
        <v>-4</v>
      </c>
      <c r="I1419">
        <v>3</v>
      </c>
      <c r="J1419" t="str">
        <f>HYPERLINK("https://climate.onebuilding.org/WMO_Region_4_North_and_Central_America/PRI_Puerto_Rico/GL_Guayanilla/PRI_GL_Penuelas.998249_TMYx.2009-2023.zip")</f>
        <v>https://climate.onebuilding.org/WMO_Region_4_North_and_Central_America/PRI_Puerto_Rico/GL_Guayanilla/PRI_GL_Penuelas.998249_TMYx.2009-2023.zip</v>
      </c>
    </row>
    <row r="1420" spans="1:10" x14ac:dyDescent="0.25">
      <c r="A1420" t="s">
        <v>800</v>
      </c>
      <c r="B1420" t="s">
        <v>831</v>
      </c>
      <c r="C1420" t="s">
        <v>832</v>
      </c>
      <c r="D1420">
        <v>998249</v>
      </c>
      <c r="E1420" t="s">
        <v>18</v>
      </c>
      <c r="F1420">
        <v>17.966999999999999</v>
      </c>
      <c r="G1420">
        <v>-66.766999999999996</v>
      </c>
      <c r="H1420">
        <v>-4</v>
      </c>
      <c r="I1420">
        <v>3</v>
      </c>
      <c r="J1420" t="str">
        <f>HYPERLINK("https://climate.onebuilding.org/WMO_Region_4_North_and_Central_America/PRI_Puerto_Rico/GL_Guayanilla/PRI_GL_Penuelas.998249_TMYx.zip")</f>
        <v>https://climate.onebuilding.org/WMO_Region_4_North_and_Central_America/PRI_Puerto_Rico/GL_Guayanilla/PRI_GL_Penuelas.998249_TMYx.zip</v>
      </c>
    </row>
    <row r="1421" spans="1:10" x14ac:dyDescent="0.25">
      <c r="A1421" t="s">
        <v>800</v>
      </c>
      <c r="B1421" t="s">
        <v>833</v>
      </c>
      <c r="C1421" t="s">
        <v>834</v>
      </c>
      <c r="D1421">
        <v>998251</v>
      </c>
      <c r="E1421" t="s">
        <v>835</v>
      </c>
      <c r="F1421">
        <v>18.05</v>
      </c>
      <c r="G1421">
        <v>-65.832999999999998</v>
      </c>
      <c r="H1421">
        <v>-4</v>
      </c>
      <c r="I1421">
        <v>3</v>
      </c>
      <c r="J1421" t="str">
        <f>HYPERLINK("https://climate.onebuilding.org/WMO_Region_4_North_and_Central_America/PRI_Puerto_Rico/YB_Yabucoa/PRI_YB_Yabucoa.Harbor.998251_TMYx.2004-2018.zip")</f>
        <v>https://climate.onebuilding.org/WMO_Region_4_North_and_Central_America/PRI_Puerto_Rico/YB_Yabucoa/PRI_YB_Yabucoa.Harbor.998251_TMYx.2004-2018.zip</v>
      </c>
    </row>
    <row r="1422" spans="1:10" x14ac:dyDescent="0.25">
      <c r="A1422" t="s">
        <v>800</v>
      </c>
      <c r="B1422" t="s">
        <v>833</v>
      </c>
      <c r="C1422" t="s">
        <v>834</v>
      </c>
      <c r="D1422">
        <v>998251</v>
      </c>
      <c r="E1422" t="s">
        <v>10</v>
      </c>
      <c r="F1422">
        <v>18.05</v>
      </c>
      <c r="G1422">
        <v>-65.832999999999998</v>
      </c>
      <c r="H1422">
        <v>-4</v>
      </c>
      <c r="I1422">
        <v>3</v>
      </c>
      <c r="J1422" t="str">
        <f>HYPERLINK("https://climate.onebuilding.org/WMO_Region_4_North_and_Central_America/PRI_Puerto_Rico/YB_Yabucoa/PRI_YB_Yabucoa.Harbor.998251_TMYx.2007-2021.zip")</f>
        <v>https://climate.onebuilding.org/WMO_Region_4_North_and_Central_America/PRI_Puerto_Rico/YB_Yabucoa/PRI_YB_Yabucoa.Harbor.998251_TMYx.2007-2021.zip</v>
      </c>
    </row>
    <row r="1423" spans="1:10" x14ac:dyDescent="0.25">
      <c r="A1423" t="s">
        <v>800</v>
      </c>
      <c r="B1423" t="s">
        <v>833</v>
      </c>
      <c r="C1423" t="s">
        <v>834</v>
      </c>
      <c r="D1423">
        <v>998251</v>
      </c>
      <c r="E1423" t="s">
        <v>10</v>
      </c>
      <c r="F1423">
        <v>18.05</v>
      </c>
      <c r="G1423">
        <v>-65.832999999999998</v>
      </c>
      <c r="H1423">
        <v>-4</v>
      </c>
      <c r="I1423">
        <v>3</v>
      </c>
      <c r="J1423" t="str">
        <f>HYPERLINK("https://climate.onebuilding.org/WMO_Region_4_North_and_Central_America/PRI_Puerto_Rico/YB_Yabucoa/PRI_YB_Yabucoa.Harbor.998251_TMYx.2009-2023.zip")</f>
        <v>https://climate.onebuilding.org/WMO_Region_4_North_and_Central_America/PRI_Puerto_Rico/YB_Yabucoa/PRI_YB_Yabucoa.Harbor.998251_TMYx.2009-2023.zip</v>
      </c>
    </row>
    <row r="1424" spans="1:10" x14ac:dyDescent="0.25">
      <c r="A1424" t="s">
        <v>800</v>
      </c>
      <c r="B1424" t="s">
        <v>833</v>
      </c>
      <c r="C1424" t="s">
        <v>834</v>
      </c>
      <c r="D1424">
        <v>998251</v>
      </c>
      <c r="E1424" t="s">
        <v>10</v>
      </c>
      <c r="F1424">
        <v>18.05</v>
      </c>
      <c r="G1424">
        <v>-65.832999999999998</v>
      </c>
      <c r="H1424">
        <v>-4</v>
      </c>
      <c r="I1424">
        <v>3</v>
      </c>
      <c r="J1424" t="str">
        <f>HYPERLINK("https://climate.onebuilding.org/WMO_Region_4_North_and_Central_America/PRI_Puerto_Rico/YB_Yabucoa/PRI_YB_Yabucoa.Harbor.998251_TMYx.zip")</f>
        <v>https://climate.onebuilding.org/WMO_Region_4_North_and_Central_America/PRI_Puerto_Rico/YB_Yabucoa/PRI_YB_Yabucoa.Harbor.998251_TMYx.zip</v>
      </c>
    </row>
    <row r="1425" spans="1:10" x14ac:dyDescent="0.25">
      <c r="A1425" t="s">
        <v>800</v>
      </c>
      <c r="B1425" t="s">
        <v>836</v>
      </c>
      <c r="C1425" t="s">
        <v>837</v>
      </c>
      <c r="D1425">
        <v>998257</v>
      </c>
      <c r="E1425" t="s">
        <v>10</v>
      </c>
      <c r="F1425">
        <v>18.149999999999999</v>
      </c>
      <c r="G1425">
        <v>-65.433000000000007</v>
      </c>
      <c r="H1425">
        <v>-4</v>
      </c>
      <c r="I1425">
        <v>6</v>
      </c>
      <c r="J1425" t="str">
        <f>HYPERLINK("https://climate.onebuilding.org/WMO_Region_4_North_and_Central_America/PRI_Puerto_Rico/VQ_Vieques/PRI_VQ_Vieques.998257_TMYx.2007-2021.zip")</f>
        <v>https://climate.onebuilding.org/WMO_Region_4_North_and_Central_America/PRI_Puerto_Rico/VQ_Vieques/PRI_VQ_Vieques.998257_TMYx.2007-2021.zip</v>
      </c>
    </row>
    <row r="1426" spans="1:10" x14ac:dyDescent="0.25">
      <c r="A1426" t="s">
        <v>800</v>
      </c>
      <c r="B1426" t="s">
        <v>836</v>
      </c>
      <c r="C1426" t="s">
        <v>837</v>
      </c>
      <c r="D1426">
        <v>998257</v>
      </c>
      <c r="E1426" t="s">
        <v>10</v>
      </c>
      <c r="F1426">
        <v>18.149999999999999</v>
      </c>
      <c r="G1426">
        <v>-65.433000000000007</v>
      </c>
      <c r="H1426">
        <v>-4</v>
      </c>
      <c r="I1426">
        <v>6</v>
      </c>
      <c r="J1426" t="str">
        <f>HYPERLINK("https://climate.onebuilding.org/WMO_Region_4_North_and_Central_America/PRI_Puerto_Rico/VQ_Vieques/PRI_VQ_Vieques.998257_TMYx.2009-2023.zip")</f>
        <v>https://climate.onebuilding.org/WMO_Region_4_North_and_Central_America/PRI_Puerto_Rico/VQ_Vieques/PRI_VQ_Vieques.998257_TMYx.2009-2023.zip</v>
      </c>
    </row>
    <row r="1427" spans="1:10" x14ac:dyDescent="0.25">
      <c r="A1427" t="s">
        <v>800</v>
      </c>
      <c r="B1427" t="s">
        <v>836</v>
      </c>
      <c r="C1427" t="s">
        <v>837</v>
      </c>
      <c r="D1427">
        <v>998257</v>
      </c>
      <c r="E1427" t="s">
        <v>10</v>
      </c>
      <c r="F1427">
        <v>18.149999999999999</v>
      </c>
      <c r="G1427">
        <v>-65.433000000000007</v>
      </c>
      <c r="H1427">
        <v>-4</v>
      </c>
      <c r="I1427">
        <v>6</v>
      </c>
      <c r="J1427" t="str">
        <f>HYPERLINK("https://climate.onebuilding.org/WMO_Region_4_North_and_Central_America/PRI_Puerto_Rico/VQ_Vieques/PRI_VQ_Vieques.998257_TMYx.zip")</f>
        <v>https://climate.onebuilding.org/WMO_Region_4_North_and_Central_America/PRI_Puerto_Rico/VQ_Vieques/PRI_VQ_Vieques.998257_TMYx.zip</v>
      </c>
    </row>
    <row r="1428" spans="1:10" x14ac:dyDescent="0.25">
      <c r="A1428" t="s">
        <v>800</v>
      </c>
      <c r="B1428" t="s">
        <v>214</v>
      </c>
      <c r="C1428" t="s">
        <v>838</v>
      </c>
      <c r="D1428">
        <v>998263</v>
      </c>
      <c r="E1428" t="s">
        <v>10</v>
      </c>
      <c r="F1428">
        <v>18.3</v>
      </c>
      <c r="G1428">
        <v>-65.3</v>
      </c>
      <c r="H1428">
        <v>-4</v>
      </c>
      <c r="I1428">
        <v>3.1</v>
      </c>
      <c r="J1428" t="str">
        <f>HYPERLINK("https://climate.onebuilding.org/WMO_Region_4_North_and_Central_America/PRI_Puerto_Rico/CU_Culebra/PRI_CU_Culebra.998263_TMYx.2007-2021.zip")</f>
        <v>https://climate.onebuilding.org/WMO_Region_4_North_and_Central_America/PRI_Puerto_Rico/CU_Culebra/PRI_CU_Culebra.998263_TMYx.2007-2021.zip</v>
      </c>
    </row>
    <row r="1429" spans="1:10" x14ac:dyDescent="0.25">
      <c r="A1429" t="s">
        <v>800</v>
      </c>
      <c r="B1429" t="s">
        <v>214</v>
      </c>
      <c r="C1429" t="s">
        <v>838</v>
      </c>
      <c r="D1429">
        <v>998263</v>
      </c>
      <c r="E1429" t="s">
        <v>10</v>
      </c>
      <c r="F1429">
        <v>18.3</v>
      </c>
      <c r="G1429">
        <v>-65.3</v>
      </c>
      <c r="H1429">
        <v>-4</v>
      </c>
      <c r="I1429">
        <v>3.1</v>
      </c>
      <c r="J1429" t="str">
        <f>HYPERLINK("https://climate.onebuilding.org/WMO_Region_4_North_and_Central_America/PRI_Puerto_Rico/CU_Culebra/PRI_CU_Culebra.998263_TMYx.2009-2023.zip")</f>
        <v>https://climate.onebuilding.org/WMO_Region_4_North_and_Central_America/PRI_Puerto_Rico/CU_Culebra/PRI_CU_Culebra.998263_TMYx.2009-2023.zip</v>
      </c>
    </row>
    <row r="1430" spans="1:10" x14ac:dyDescent="0.25">
      <c r="A1430" t="s">
        <v>800</v>
      </c>
      <c r="B1430" t="s">
        <v>214</v>
      </c>
      <c r="C1430" t="s">
        <v>838</v>
      </c>
      <c r="D1430">
        <v>998263</v>
      </c>
      <c r="E1430" t="s">
        <v>10</v>
      </c>
      <c r="F1430">
        <v>18.3</v>
      </c>
      <c r="G1430">
        <v>-65.3</v>
      </c>
      <c r="H1430">
        <v>-4</v>
      </c>
      <c r="I1430">
        <v>3.1</v>
      </c>
      <c r="J1430" t="str">
        <f>HYPERLINK("https://climate.onebuilding.org/WMO_Region_4_North_and_Central_America/PRI_Puerto_Rico/CU_Culebra/PRI_CU_Culebra.998263_TMYx.zip")</f>
        <v>https://climate.onebuilding.org/WMO_Region_4_North_and_Central_America/PRI_Puerto_Rico/CU_Culebra/PRI_CU_Culebra.998263_TMYx.zip</v>
      </c>
    </row>
    <row r="1431" spans="1:10" x14ac:dyDescent="0.25">
      <c r="A1431" t="s">
        <v>800</v>
      </c>
      <c r="B1431" t="s">
        <v>836</v>
      </c>
      <c r="C1431" t="s">
        <v>839</v>
      </c>
      <c r="D1431">
        <v>998301</v>
      </c>
      <c r="E1431" t="s">
        <v>840</v>
      </c>
      <c r="F1431">
        <v>18.094000000000001</v>
      </c>
      <c r="G1431">
        <v>-65.471000000000004</v>
      </c>
      <c r="H1431">
        <v>-4</v>
      </c>
      <c r="I1431">
        <v>3.4</v>
      </c>
      <c r="J1431" t="str">
        <f>HYPERLINK("https://climate.onebuilding.org/WMO_Region_4_North_and_Central_America/PRI_Puerto_Rico/VQ_Vieques/PRI_VQ_Esperanza.998301_TMYx.2004-2018.zip")</f>
        <v>https://climate.onebuilding.org/WMO_Region_4_North_and_Central_America/PRI_Puerto_Rico/VQ_Vieques/PRI_VQ_Esperanza.998301_TMYx.2004-2018.zip</v>
      </c>
    </row>
    <row r="1432" spans="1:10" x14ac:dyDescent="0.25">
      <c r="A1432" t="s">
        <v>800</v>
      </c>
      <c r="B1432" t="s">
        <v>836</v>
      </c>
      <c r="C1432" t="s">
        <v>839</v>
      </c>
      <c r="D1432">
        <v>998301</v>
      </c>
      <c r="E1432" t="s">
        <v>10</v>
      </c>
      <c r="F1432">
        <v>18.094000000000001</v>
      </c>
      <c r="G1432">
        <v>-65.471000000000004</v>
      </c>
      <c r="H1432">
        <v>-4</v>
      </c>
      <c r="I1432">
        <v>3.4</v>
      </c>
      <c r="J1432" t="str">
        <f>HYPERLINK("https://climate.onebuilding.org/WMO_Region_4_North_and_Central_America/PRI_Puerto_Rico/VQ_Vieques/PRI_VQ_Esperanza.998301_TMYx.2007-2021.zip")</f>
        <v>https://climate.onebuilding.org/WMO_Region_4_North_and_Central_America/PRI_Puerto_Rico/VQ_Vieques/PRI_VQ_Esperanza.998301_TMYx.2007-2021.zip</v>
      </c>
    </row>
    <row r="1433" spans="1:10" x14ac:dyDescent="0.25">
      <c r="A1433" t="s">
        <v>800</v>
      </c>
      <c r="B1433" t="s">
        <v>836</v>
      </c>
      <c r="C1433" t="s">
        <v>839</v>
      </c>
      <c r="D1433">
        <v>998301</v>
      </c>
      <c r="E1433" t="s">
        <v>10</v>
      </c>
      <c r="F1433">
        <v>18.094000000000001</v>
      </c>
      <c r="G1433">
        <v>-65.471000000000004</v>
      </c>
      <c r="H1433">
        <v>-4</v>
      </c>
      <c r="I1433">
        <v>3.4</v>
      </c>
      <c r="J1433" t="str">
        <f>HYPERLINK("https://climate.onebuilding.org/WMO_Region_4_North_and_Central_America/PRI_Puerto_Rico/VQ_Vieques/PRI_VQ_Esperanza.998301_TMYx.2009-2023.zip")</f>
        <v>https://climate.onebuilding.org/WMO_Region_4_North_and_Central_America/PRI_Puerto_Rico/VQ_Vieques/PRI_VQ_Esperanza.998301_TMYx.2009-2023.zip</v>
      </c>
    </row>
    <row r="1434" spans="1:10" x14ac:dyDescent="0.25">
      <c r="A1434" t="s">
        <v>800</v>
      </c>
      <c r="B1434" t="s">
        <v>836</v>
      </c>
      <c r="C1434" t="s">
        <v>839</v>
      </c>
      <c r="D1434">
        <v>998301</v>
      </c>
      <c r="E1434" t="s">
        <v>10</v>
      </c>
      <c r="F1434">
        <v>18.094000000000001</v>
      </c>
      <c r="G1434">
        <v>-65.471000000000004</v>
      </c>
      <c r="H1434">
        <v>-4</v>
      </c>
      <c r="I1434">
        <v>3.4</v>
      </c>
      <c r="J1434" t="str">
        <f>HYPERLINK("https://climate.onebuilding.org/WMO_Region_4_North_and_Central_America/PRI_Puerto_Rico/VQ_Vieques/PRI_VQ_Esperanza.998301_TMYx.zip")</f>
        <v>https://climate.onebuilding.org/WMO_Region_4_North_and_Central_America/PRI_Puerto_Rico/VQ_Vieques/PRI_VQ_Esperanza.998301_TMYx.zip</v>
      </c>
    </row>
    <row r="1435" spans="1:10" x14ac:dyDescent="0.25">
      <c r="A1435" t="s">
        <v>800</v>
      </c>
      <c r="B1435" t="s">
        <v>70</v>
      </c>
      <c r="C1435" t="s">
        <v>841</v>
      </c>
      <c r="D1435">
        <v>998304</v>
      </c>
      <c r="E1435" t="s">
        <v>842</v>
      </c>
      <c r="F1435">
        <v>18.076000000000001</v>
      </c>
      <c r="G1435">
        <v>-67.928899999999999</v>
      </c>
      <c r="H1435">
        <v>-4</v>
      </c>
      <c r="I1435">
        <v>7</v>
      </c>
      <c r="J1435" t="str">
        <f>HYPERLINK("https://climate.onebuilding.org/WMO_Region_4_North_and_Central_America/PRI_Puerto_Rico/MG_Mayaguez/PRI_MG_Mona.Island-Mona.AP.998304_TMYx.2004-2018.zip")</f>
        <v>https://climate.onebuilding.org/WMO_Region_4_North_and_Central_America/PRI_Puerto_Rico/MG_Mayaguez/PRI_MG_Mona.Island-Mona.AP.998304_TMYx.2004-2018.zip</v>
      </c>
    </row>
    <row r="1436" spans="1:10" x14ac:dyDescent="0.25">
      <c r="A1436" t="s">
        <v>800</v>
      </c>
      <c r="B1436" t="s">
        <v>70</v>
      </c>
      <c r="C1436" t="s">
        <v>841</v>
      </c>
      <c r="D1436">
        <v>998304</v>
      </c>
      <c r="E1436" t="s">
        <v>10</v>
      </c>
      <c r="F1436">
        <v>18.076000000000001</v>
      </c>
      <c r="G1436">
        <v>-67.928899999999999</v>
      </c>
      <c r="H1436">
        <v>-4</v>
      </c>
      <c r="I1436">
        <v>7</v>
      </c>
      <c r="J1436" t="str">
        <f>HYPERLINK("https://climate.onebuilding.org/WMO_Region_4_North_and_Central_America/PRI_Puerto_Rico/MG_Mayaguez/PRI_MG_Mona.Island-Mona.AP.998304_TMYx.2007-2021.zip")</f>
        <v>https://climate.onebuilding.org/WMO_Region_4_North_and_Central_America/PRI_Puerto_Rico/MG_Mayaguez/PRI_MG_Mona.Island-Mona.AP.998304_TMYx.2007-2021.zip</v>
      </c>
    </row>
    <row r="1437" spans="1:10" x14ac:dyDescent="0.25">
      <c r="A1437" t="s">
        <v>800</v>
      </c>
      <c r="B1437" t="s">
        <v>70</v>
      </c>
      <c r="C1437" t="s">
        <v>841</v>
      </c>
      <c r="D1437">
        <v>998304</v>
      </c>
      <c r="E1437" t="s">
        <v>10</v>
      </c>
      <c r="F1437">
        <v>18.076000000000001</v>
      </c>
      <c r="G1437">
        <v>-67.928899999999999</v>
      </c>
      <c r="H1437">
        <v>-4</v>
      </c>
      <c r="I1437">
        <v>7</v>
      </c>
      <c r="J1437" t="str">
        <f>HYPERLINK("https://climate.onebuilding.org/WMO_Region_4_North_and_Central_America/PRI_Puerto_Rico/MG_Mayaguez/PRI_MG_Mona.Island-Mona.AP.998304_TMYx.2009-2023.zip")</f>
        <v>https://climate.onebuilding.org/WMO_Region_4_North_and_Central_America/PRI_Puerto_Rico/MG_Mayaguez/PRI_MG_Mona.Island-Mona.AP.998304_TMYx.2009-2023.zip</v>
      </c>
    </row>
    <row r="1438" spans="1:10" x14ac:dyDescent="0.25">
      <c r="A1438" t="s">
        <v>800</v>
      </c>
      <c r="B1438" t="s">
        <v>70</v>
      </c>
      <c r="C1438" t="s">
        <v>841</v>
      </c>
      <c r="D1438">
        <v>998304</v>
      </c>
      <c r="E1438" t="s">
        <v>10</v>
      </c>
      <c r="F1438">
        <v>18.076000000000001</v>
      </c>
      <c r="G1438">
        <v>-67.928899999999999</v>
      </c>
      <c r="H1438">
        <v>-4</v>
      </c>
      <c r="I1438">
        <v>7</v>
      </c>
      <c r="J1438" t="str">
        <f>HYPERLINK("https://climate.onebuilding.org/WMO_Region_4_North_and_Central_America/PRI_Puerto_Rico/MG_Mayaguez/PRI_MG_Mona.Island-Mona.AP.998304_TMYx.zip")</f>
        <v>https://climate.onebuilding.org/WMO_Region_4_North_and_Central_America/PRI_Puerto_Rico/MG_Mayaguez/PRI_MG_Mona.Island-Mona.AP.998304_TMYx.zip</v>
      </c>
    </row>
    <row r="1439" spans="1:10" x14ac:dyDescent="0.25">
      <c r="A1439" t="s">
        <v>843</v>
      </c>
      <c r="B1439" t="s">
        <v>844</v>
      </c>
      <c r="C1439" t="s">
        <v>845</v>
      </c>
      <c r="D1439">
        <v>786500</v>
      </c>
      <c r="E1439" t="s">
        <v>846</v>
      </c>
      <c r="F1439">
        <v>13.567</v>
      </c>
      <c r="G1439">
        <v>-89.832999999999998</v>
      </c>
      <c r="H1439">
        <v>-6</v>
      </c>
      <c r="I1439">
        <v>15</v>
      </c>
      <c r="J1439" t="str">
        <f>HYPERLINK("https://climate.onebuilding.org/WMO_Region_4_North_and_Central_America/SLV_El_Salvador/SLV_SO_Acajutla.786500_TMYx.2004-2018.zip")</f>
        <v>https://climate.onebuilding.org/WMO_Region_4_North_and_Central_America/SLV_El_Salvador/SLV_SO_Acajutla.786500_TMYx.2004-2018.zip</v>
      </c>
    </row>
    <row r="1440" spans="1:10" x14ac:dyDescent="0.25">
      <c r="A1440" t="s">
        <v>843</v>
      </c>
      <c r="B1440" t="s">
        <v>844</v>
      </c>
      <c r="C1440" t="s">
        <v>845</v>
      </c>
      <c r="D1440">
        <v>786500</v>
      </c>
      <c r="E1440" t="s">
        <v>10</v>
      </c>
      <c r="F1440">
        <v>13.567</v>
      </c>
      <c r="G1440">
        <v>-89.832999999999998</v>
      </c>
      <c r="H1440">
        <v>-6</v>
      </c>
      <c r="I1440">
        <v>15</v>
      </c>
      <c r="J1440" t="str">
        <f>HYPERLINK("https://climate.onebuilding.org/WMO_Region_4_North_and_Central_America/SLV_El_Salvador/SLV_SO_Acajutla.786500_TMYx.2007-2021.zip")</f>
        <v>https://climate.onebuilding.org/WMO_Region_4_North_and_Central_America/SLV_El_Salvador/SLV_SO_Acajutla.786500_TMYx.2007-2021.zip</v>
      </c>
    </row>
    <row r="1441" spans="1:10" x14ac:dyDescent="0.25">
      <c r="A1441" t="s">
        <v>843</v>
      </c>
      <c r="B1441" t="s">
        <v>844</v>
      </c>
      <c r="C1441" t="s">
        <v>845</v>
      </c>
      <c r="D1441">
        <v>786500</v>
      </c>
      <c r="E1441" t="s">
        <v>10</v>
      </c>
      <c r="F1441">
        <v>13.567</v>
      </c>
      <c r="G1441">
        <v>-89.832999999999998</v>
      </c>
      <c r="H1441">
        <v>-6</v>
      </c>
      <c r="I1441">
        <v>15</v>
      </c>
      <c r="J1441" t="str">
        <f>HYPERLINK("https://climate.onebuilding.org/WMO_Region_4_North_and_Central_America/SLV_El_Salvador/SLV_SO_Acajutla.786500_TMYx.2009-2023.zip")</f>
        <v>https://climate.onebuilding.org/WMO_Region_4_North_and_Central_America/SLV_El_Salvador/SLV_SO_Acajutla.786500_TMYx.2009-2023.zip</v>
      </c>
    </row>
    <row r="1442" spans="1:10" x14ac:dyDescent="0.25">
      <c r="A1442" t="s">
        <v>843</v>
      </c>
      <c r="B1442" t="s">
        <v>844</v>
      </c>
      <c r="C1442" t="s">
        <v>845</v>
      </c>
      <c r="D1442">
        <v>786500</v>
      </c>
      <c r="E1442" t="s">
        <v>10</v>
      </c>
      <c r="F1442">
        <v>13.567</v>
      </c>
      <c r="G1442">
        <v>-89.832999999999998</v>
      </c>
      <c r="H1442">
        <v>-6</v>
      </c>
      <c r="I1442">
        <v>15</v>
      </c>
      <c r="J1442" t="str">
        <f>HYPERLINK("https://climate.onebuilding.org/WMO_Region_4_North_and_Central_America/SLV_El_Salvador/SLV_SO_Acajutla.786500_TMYx.zip")</f>
        <v>https://climate.onebuilding.org/WMO_Region_4_North_and_Central_America/SLV_El_Salvador/SLV_SO_Acajutla.786500_TMYx.zip</v>
      </c>
    </row>
    <row r="1443" spans="1:10" x14ac:dyDescent="0.25">
      <c r="A1443" t="s">
        <v>843</v>
      </c>
      <c r="B1443" t="s">
        <v>87</v>
      </c>
      <c r="C1443" t="s">
        <v>847</v>
      </c>
      <c r="D1443">
        <v>786550</v>
      </c>
      <c r="E1443" t="s">
        <v>848</v>
      </c>
      <c r="F1443">
        <v>13.97</v>
      </c>
      <c r="G1443">
        <v>-89.53</v>
      </c>
      <c r="H1443">
        <v>-6</v>
      </c>
      <c r="I1443">
        <v>660</v>
      </c>
      <c r="J1443" t="str">
        <f>HYPERLINK("https://climate.onebuilding.org/WMO_Region_4_North_and_Central_America/SLV_El_Salvador/SLV_SA_Santa.Ana-El.Palmar.Station.786550_TMYx.2004-2018.zip")</f>
        <v>https://climate.onebuilding.org/WMO_Region_4_North_and_Central_America/SLV_El_Salvador/SLV_SA_Santa.Ana-El.Palmar.Station.786550_TMYx.2004-2018.zip</v>
      </c>
    </row>
    <row r="1444" spans="1:10" x14ac:dyDescent="0.25">
      <c r="A1444" t="s">
        <v>843</v>
      </c>
      <c r="B1444" t="s">
        <v>87</v>
      </c>
      <c r="C1444" t="s">
        <v>847</v>
      </c>
      <c r="D1444">
        <v>786550</v>
      </c>
      <c r="E1444" t="s">
        <v>10</v>
      </c>
      <c r="F1444">
        <v>13.97</v>
      </c>
      <c r="G1444">
        <v>-89.53</v>
      </c>
      <c r="H1444">
        <v>-6</v>
      </c>
      <c r="I1444">
        <v>660</v>
      </c>
      <c r="J1444" t="str">
        <f>HYPERLINK("https://climate.onebuilding.org/WMO_Region_4_North_and_Central_America/SLV_El_Salvador/SLV_SA_Santa.Ana-El.Palmar.Station.786550_TMYx.2007-2021.zip")</f>
        <v>https://climate.onebuilding.org/WMO_Region_4_North_and_Central_America/SLV_El_Salvador/SLV_SA_Santa.Ana-El.Palmar.Station.786550_TMYx.2007-2021.zip</v>
      </c>
    </row>
    <row r="1445" spans="1:10" x14ac:dyDescent="0.25">
      <c r="A1445" t="s">
        <v>843</v>
      </c>
      <c r="B1445" t="s">
        <v>87</v>
      </c>
      <c r="C1445" t="s">
        <v>847</v>
      </c>
      <c r="D1445">
        <v>786550</v>
      </c>
      <c r="E1445" t="s">
        <v>10</v>
      </c>
      <c r="F1445">
        <v>13.97</v>
      </c>
      <c r="G1445">
        <v>-89.53</v>
      </c>
      <c r="H1445">
        <v>-6</v>
      </c>
      <c r="I1445">
        <v>660</v>
      </c>
      <c r="J1445" t="str">
        <f>HYPERLINK("https://climate.onebuilding.org/WMO_Region_4_North_and_Central_America/SLV_El_Salvador/SLV_SA_Santa.Ana-El.Palmar.Station.786550_TMYx.2009-2023.zip")</f>
        <v>https://climate.onebuilding.org/WMO_Region_4_North_and_Central_America/SLV_El_Salvador/SLV_SA_Santa.Ana-El.Palmar.Station.786550_TMYx.2009-2023.zip</v>
      </c>
    </row>
    <row r="1446" spans="1:10" x14ac:dyDescent="0.25">
      <c r="A1446" t="s">
        <v>843</v>
      </c>
      <c r="B1446" t="s">
        <v>87</v>
      </c>
      <c r="C1446" t="s">
        <v>847</v>
      </c>
      <c r="D1446">
        <v>786550</v>
      </c>
      <c r="E1446" t="s">
        <v>10</v>
      </c>
      <c r="F1446">
        <v>13.97</v>
      </c>
      <c r="G1446">
        <v>-89.53</v>
      </c>
      <c r="H1446">
        <v>-6</v>
      </c>
      <c r="I1446">
        <v>660</v>
      </c>
      <c r="J1446" t="str">
        <f>HYPERLINK("https://climate.onebuilding.org/WMO_Region_4_North_and_Central_America/SLV_El_Salvador/SLV_SA_Santa.Ana-El.Palmar.Station.786550_TMYx.zip")</f>
        <v>https://climate.onebuilding.org/WMO_Region_4_North_and_Central_America/SLV_El_Salvador/SLV_SA_Santa.Ana-El.Palmar.Station.786550_TMYx.zip</v>
      </c>
    </row>
    <row r="1447" spans="1:10" x14ac:dyDescent="0.25">
      <c r="A1447" t="s">
        <v>843</v>
      </c>
      <c r="B1447" t="s">
        <v>59</v>
      </c>
      <c r="C1447" t="s">
        <v>849</v>
      </c>
      <c r="D1447">
        <v>786620</v>
      </c>
      <c r="E1447" t="s">
        <v>18</v>
      </c>
      <c r="F1447">
        <v>13.717000000000001</v>
      </c>
      <c r="G1447">
        <v>-89.2</v>
      </c>
      <c r="H1447">
        <v>-6</v>
      </c>
      <c r="I1447">
        <v>689</v>
      </c>
      <c r="J1447" t="str">
        <f>HYPERLINK("https://climate.onebuilding.org/WMO_Region_4_North_and_Central_America/SLV_El_Salvador/SLV_SS_Univ.San.Salvador.786620_TMYx.2007-2021.zip")</f>
        <v>https://climate.onebuilding.org/WMO_Region_4_North_and_Central_America/SLV_El_Salvador/SLV_SS_Univ.San.Salvador.786620_TMYx.2007-2021.zip</v>
      </c>
    </row>
    <row r="1448" spans="1:10" x14ac:dyDescent="0.25">
      <c r="A1448" t="s">
        <v>843</v>
      </c>
      <c r="B1448" t="s">
        <v>59</v>
      </c>
      <c r="C1448" t="s">
        <v>849</v>
      </c>
      <c r="D1448">
        <v>786620</v>
      </c>
      <c r="E1448" t="s">
        <v>18</v>
      </c>
      <c r="F1448">
        <v>13.717000000000001</v>
      </c>
      <c r="G1448">
        <v>-89.2</v>
      </c>
      <c r="H1448">
        <v>-6</v>
      </c>
      <c r="I1448">
        <v>689</v>
      </c>
      <c r="J1448" t="str">
        <f>HYPERLINK("https://climate.onebuilding.org/WMO_Region_4_North_and_Central_America/SLV_El_Salvador/SLV_SS_Univ.San.Salvador.786620_TMYx.2009-2023.zip")</f>
        <v>https://climate.onebuilding.org/WMO_Region_4_North_and_Central_America/SLV_El_Salvador/SLV_SS_Univ.San.Salvador.786620_TMYx.2009-2023.zip</v>
      </c>
    </row>
    <row r="1449" spans="1:10" x14ac:dyDescent="0.25">
      <c r="A1449" t="s">
        <v>843</v>
      </c>
      <c r="B1449" t="s">
        <v>59</v>
      </c>
      <c r="C1449" t="s">
        <v>849</v>
      </c>
      <c r="D1449">
        <v>786620</v>
      </c>
      <c r="E1449" t="s">
        <v>18</v>
      </c>
      <c r="F1449">
        <v>13.717000000000001</v>
      </c>
      <c r="G1449">
        <v>-89.2</v>
      </c>
      <c r="H1449">
        <v>-6</v>
      </c>
      <c r="I1449">
        <v>689</v>
      </c>
      <c r="J1449" t="str">
        <f>HYPERLINK("https://climate.onebuilding.org/WMO_Region_4_North_and_Central_America/SLV_El_Salvador/SLV_SS_Univ.San.Salvador.786620_TMYx.zip")</f>
        <v>https://climate.onebuilding.org/WMO_Region_4_North_and_Central_America/SLV_El_Salvador/SLV_SS_Univ.San.Salvador.786620_TMYx.zip</v>
      </c>
    </row>
    <row r="1450" spans="1:10" x14ac:dyDescent="0.25">
      <c r="A1450" t="s">
        <v>843</v>
      </c>
      <c r="B1450" t="s">
        <v>59</v>
      </c>
      <c r="C1450" t="s">
        <v>850</v>
      </c>
      <c r="D1450">
        <v>786630</v>
      </c>
      <c r="E1450" t="s">
        <v>851</v>
      </c>
      <c r="F1450">
        <v>13.699</v>
      </c>
      <c r="G1450">
        <v>-89.12</v>
      </c>
      <c r="H1450">
        <v>-6</v>
      </c>
      <c r="I1450">
        <v>616</v>
      </c>
      <c r="J1450" t="str">
        <f>HYPERLINK("https://climate.onebuilding.org/WMO_Region_4_North_and_Central_America/SLV_El_Salvador/SLV_SS_San.Salvador-Ilopango.Intl.AP.786630_TMYx.2004-2018.zip")</f>
        <v>https://climate.onebuilding.org/WMO_Region_4_North_and_Central_America/SLV_El_Salvador/SLV_SS_San.Salvador-Ilopango.Intl.AP.786630_TMYx.2004-2018.zip</v>
      </c>
    </row>
    <row r="1451" spans="1:10" x14ac:dyDescent="0.25">
      <c r="A1451" t="s">
        <v>843</v>
      </c>
      <c r="B1451" t="s">
        <v>59</v>
      </c>
      <c r="C1451" t="s">
        <v>850</v>
      </c>
      <c r="D1451">
        <v>786630</v>
      </c>
      <c r="E1451" t="s">
        <v>10</v>
      </c>
      <c r="F1451">
        <v>13.699</v>
      </c>
      <c r="G1451">
        <v>-89.12</v>
      </c>
      <c r="H1451">
        <v>-6</v>
      </c>
      <c r="I1451">
        <v>616</v>
      </c>
      <c r="J1451" t="str">
        <f>HYPERLINK("https://climate.onebuilding.org/WMO_Region_4_North_and_Central_America/SLV_El_Salvador/SLV_SS_San.Salvador-Ilopango.Intl.AP.786630_TMYx.2007-2021.zip")</f>
        <v>https://climate.onebuilding.org/WMO_Region_4_North_and_Central_America/SLV_El_Salvador/SLV_SS_San.Salvador-Ilopango.Intl.AP.786630_TMYx.2007-2021.zip</v>
      </c>
    </row>
    <row r="1452" spans="1:10" x14ac:dyDescent="0.25">
      <c r="A1452" t="s">
        <v>843</v>
      </c>
      <c r="B1452" t="s">
        <v>59</v>
      </c>
      <c r="C1452" t="s">
        <v>850</v>
      </c>
      <c r="D1452">
        <v>786630</v>
      </c>
      <c r="E1452" t="s">
        <v>10</v>
      </c>
      <c r="F1452">
        <v>13.699</v>
      </c>
      <c r="G1452">
        <v>-89.12</v>
      </c>
      <c r="H1452">
        <v>-6</v>
      </c>
      <c r="I1452">
        <v>616</v>
      </c>
      <c r="J1452" t="str">
        <f>HYPERLINK("https://climate.onebuilding.org/WMO_Region_4_North_and_Central_America/SLV_El_Salvador/SLV_SS_San.Salvador-Ilopango.Intl.AP.786630_TMYx.2009-2023.zip")</f>
        <v>https://climate.onebuilding.org/WMO_Region_4_North_and_Central_America/SLV_El_Salvador/SLV_SS_San.Salvador-Ilopango.Intl.AP.786630_TMYx.2009-2023.zip</v>
      </c>
    </row>
    <row r="1453" spans="1:10" x14ac:dyDescent="0.25">
      <c r="A1453" t="s">
        <v>843</v>
      </c>
      <c r="B1453" t="s">
        <v>59</v>
      </c>
      <c r="C1453" t="s">
        <v>850</v>
      </c>
      <c r="D1453">
        <v>786630</v>
      </c>
      <c r="E1453" t="s">
        <v>10</v>
      </c>
      <c r="F1453">
        <v>13.699</v>
      </c>
      <c r="G1453">
        <v>-89.12</v>
      </c>
      <c r="H1453">
        <v>-6</v>
      </c>
      <c r="I1453">
        <v>616</v>
      </c>
      <c r="J1453" t="str">
        <f>HYPERLINK("https://climate.onebuilding.org/WMO_Region_4_North_and_Central_America/SLV_El_Salvador/SLV_SS_San.Salvador-Ilopango.Intl.AP.786630_TMYx.zip")</f>
        <v>https://climate.onebuilding.org/WMO_Region_4_North_and_Central_America/SLV_El_Salvador/SLV_SS_San.Salvador-Ilopango.Intl.AP.786630_TMYx.zip</v>
      </c>
    </row>
    <row r="1454" spans="1:10" x14ac:dyDescent="0.25">
      <c r="A1454" t="s">
        <v>843</v>
      </c>
      <c r="B1454" t="s">
        <v>122</v>
      </c>
      <c r="C1454" t="s">
        <v>852</v>
      </c>
      <c r="D1454">
        <v>786660</v>
      </c>
      <c r="E1454" t="s">
        <v>853</v>
      </c>
      <c r="F1454">
        <v>13.441000000000001</v>
      </c>
      <c r="G1454">
        <v>-89.055999999999997</v>
      </c>
      <c r="H1454">
        <v>-6</v>
      </c>
      <c r="I1454">
        <v>30.8</v>
      </c>
      <c r="J1454" t="str">
        <f>HYPERLINK("https://climate.onebuilding.org/WMO_Region_4_North_and_Central_America/SLV_El_Salvador/SLV_CH_Comalapa-El.Salvador.Intl.AP.786660_TMYx.2004-2018.zip")</f>
        <v>https://climate.onebuilding.org/WMO_Region_4_North_and_Central_America/SLV_El_Salvador/SLV_CH_Comalapa-El.Salvador.Intl.AP.786660_TMYx.2004-2018.zip</v>
      </c>
    </row>
    <row r="1455" spans="1:10" x14ac:dyDescent="0.25">
      <c r="A1455" t="s">
        <v>843</v>
      </c>
      <c r="B1455" t="s">
        <v>122</v>
      </c>
      <c r="C1455" t="s">
        <v>852</v>
      </c>
      <c r="D1455">
        <v>786660</v>
      </c>
      <c r="E1455" t="s">
        <v>10</v>
      </c>
      <c r="F1455">
        <v>13.441000000000001</v>
      </c>
      <c r="G1455">
        <v>-89.055999999999997</v>
      </c>
      <c r="H1455">
        <v>-6</v>
      </c>
      <c r="I1455">
        <v>30.8</v>
      </c>
      <c r="J1455" t="str">
        <f>HYPERLINK("https://climate.onebuilding.org/WMO_Region_4_North_and_Central_America/SLV_El_Salvador/SLV_CH_Comalapa-El.Salvador.Intl.AP.786660_TMYx.2007-2021.zip")</f>
        <v>https://climate.onebuilding.org/WMO_Region_4_North_and_Central_America/SLV_El_Salvador/SLV_CH_Comalapa-El.Salvador.Intl.AP.786660_TMYx.2007-2021.zip</v>
      </c>
    </row>
    <row r="1456" spans="1:10" x14ac:dyDescent="0.25">
      <c r="A1456" t="s">
        <v>843</v>
      </c>
      <c r="B1456" t="s">
        <v>122</v>
      </c>
      <c r="C1456" t="s">
        <v>852</v>
      </c>
      <c r="D1456">
        <v>786660</v>
      </c>
      <c r="E1456" t="s">
        <v>10</v>
      </c>
      <c r="F1456">
        <v>13.441000000000001</v>
      </c>
      <c r="G1456">
        <v>-89.055999999999997</v>
      </c>
      <c r="H1456">
        <v>-6</v>
      </c>
      <c r="I1456">
        <v>30.8</v>
      </c>
      <c r="J1456" t="str">
        <f>HYPERLINK("https://climate.onebuilding.org/WMO_Region_4_North_and_Central_America/SLV_El_Salvador/SLV_CH_Comalapa-El.Salvador.Intl.AP.786660_TMYx.2009-2023.zip")</f>
        <v>https://climate.onebuilding.org/WMO_Region_4_North_and_Central_America/SLV_El_Salvador/SLV_CH_Comalapa-El.Salvador.Intl.AP.786660_TMYx.2009-2023.zip</v>
      </c>
    </row>
    <row r="1457" spans="1:10" x14ac:dyDescent="0.25">
      <c r="A1457" t="s">
        <v>843</v>
      </c>
      <c r="B1457" t="s">
        <v>122</v>
      </c>
      <c r="C1457" t="s">
        <v>852</v>
      </c>
      <c r="D1457">
        <v>786660</v>
      </c>
      <c r="E1457" t="s">
        <v>10</v>
      </c>
      <c r="F1457">
        <v>13.441000000000001</v>
      </c>
      <c r="G1457">
        <v>-89.055999999999997</v>
      </c>
      <c r="H1457">
        <v>-6</v>
      </c>
      <c r="I1457">
        <v>30.8</v>
      </c>
      <c r="J1457" t="str">
        <f>HYPERLINK("https://climate.onebuilding.org/WMO_Region_4_North_and_Central_America/SLV_El_Salvador/SLV_CH_Comalapa-El.Salvador.Intl.AP.786660_TMYx.zip")</f>
        <v>https://climate.onebuilding.org/WMO_Region_4_North_and_Central_America/SLV_El_Salvador/SLV_CH_Comalapa-El.Salvador.Intl.AP.786660_TMYx.zip</v>
      </c>
    </row>
    <row r="1458" spans="1:10" x14ac:dyDescent="0.25">
      <c r="A1458" t="s">
        <v>843</v>
      </c>
      <c r="B1458" t="s">
        <v>235</v>
      </c>
      <c r="C1458" t="s">
        <v>854</v>
      </c>
      <c r="D1458">
        <v>786700</v>
      </c>
      <c r="E1458" t="s">
        <v>855</v>
      </c>
      <c r="F1458">
        <v>13.43</v>
      </c>
      <c r="G1458">
        <v>-88.12</v>
      </c>
      <c r="H1458">
        <v>-6</v>
      </c>
      <c r="I1458">
        <v>80</v>
      </c>
      <c r="J1458" t="str">
        <f>HYPERLINK("https://climate.onebuilding.org/WMO_Region_4_North_and_Central_America/SLV_El_Salvador/SLV_SM_San.Miguel-El.Papalon.AP.786700_TMYx.2004-2018.zip")</f>
        <v>https://climate.onebuilding.org/WMO_Region_4_North_and_Central_America/SLV_El_Salvador/SLV_SM_San.Miguel-El.Papalon.AP.786700_TMYx.2004-2018.zip</v>
      </c>
    </row>
    <row r="1459" spans="1:10" x14ac:dyDescent="0.25">
      <c r="A1459" t="s">
        <v>843</v>
      </c>
      <c r="B1459" t="s">
        <v>235</v>
      </c>
      <c r="C1459" t="s">
        <v>854</v>
      </c>
      <c r="D1459">
        <v>786700</v>
      </c>
      <c r="E1459" t="s">
        <v>10</v>
      </c>
      <c r="F1459">
        <v>13.43</v>
      </c>
      <c r="G1459">
        <v>-88.12</v>
      </c>
      <c r="H1459">
        <v>-6</v>
      </c>
      <c r="I1459">
        <v>80</v>
      </c>
      <c r="J1459" t="str">
        <f>HYPERLINK("https://climate.onebuilding.org/WMO_Region_4_North_and_Central_America/SLV_El_Salvador/SLV_SM_San.Miguel-El.Papalon.AP.786700_TMYx.2007-2021.zip")</f>
        <v>https://climate.onebuilding.org/WMO_Region_4_North_and_Central_America/SLV_El_Salvador/SLV_SM_San.Miguel-El.Papalon.AP.786700_TMYx.2007-2021.zip</v>
      </c>
    </row>
    <row r="1460" spans="1:10" x14ac:dyDescent="0.25">
      <c r="A1460" t="s">
        <v>843</v>
      </c>
      <c r="B1460" t="s">
        <v>235</v>
      </c>
      <c r="C1460" t="s">
        <v>854</v>
      </c>
      <c r="D1460">
        <v>786700</v>
      </c>
      <c r="E1460" t="s">
        <v>10</v>
      </c>
      <c r="F1460">
        <v>13.43</v>
      </c>
      <c r="G1460">
        <v>-88.12</v>
      </c>
      <c r="H1460">
        <v>-6</v>
      </c>
      <c r="I1460">
        <v>80</v>
      </c>
      <c r="J1460" t="str">
        <f>HYPERLINK("https://climate.onebuilding.org/WMO_Region_4_North_and_Central_America/SLV_El_Salvador/SLV_SM_San.Miguel-El.Papalon.AP.786700_TMYx.2009-2023.zip")</f>
        <v>https://climate.onebuilding.org/WMO_Region_4_North_and_Central_America/SLV_El_Salvador/SLV_SM_San.Miguel-El.Papalon.AP.786700_TMYx.2009-2023.zip</v>
      </c>
    </row>
    <row r="1461" spans="1:10" x14ac:dyDescent="0.25">
      <c r="A1461" t="s">
        <v>843</v>
      </c>
      <c r="B1461" t="s">
        <v>235</v>
      </c>
      <c r="C1461" t="s">
        <v>854</v>
      </c>
      <c r="D1461">
        <v>786700</v>
      </c>
      <c r="E1461" t="s">
        <v>10</v>
      </c>
      <c r="F1461">
        <v>13.43</v>
      </c>
      <c r="G1461">
        <v>-88.12</v>
      </c>
      <c r="H1461">
        <v>-6</v>
      </c>
      <c r="I1461">
        <v>80</v>
      </c>
      <c r="J1461" t="str">
        <f>HYPERLINK("https://climate.onebuilding.org/WMO_Region_4_North_and_Central_America/SLV_El_Salvador/SLV_SM_San.Miguel-El.Papalon.AP.786700_TMYx.zip")</f>
        <v>https://climate.onebuilding.org/WMO_Region_4_North_and_Central_America/SLV_El_Salvador/SLV_SM_San.Miguel-El.Papalon.AP.786700_TMYx.zip</v>
      </c>
    </row>
    <row r="1462" spans="1:10" x14ac:dyDescent="0.25">
      <c r="A1462" t="s">
        <v>843</v>
      </c>
      <c r="B1462" t="s">
        <v>856</v>
      </c>
      <c r="C1462" t="s">
        <v>857</v>
      </c>
      <c r="D1462">
        <v>786720</v>
      </c>
      <c r="E1462" t="s">
        <v>10</v>
      </c>
      <c r="F1462">
        <v>13.3247</v>
      </c>
      <c r="G1462">
        <v>-87.814700000000002</v>
      </c>
      <c r="H1462">
        <v>-6</v>
      </c>
      <c r="I1462">
        <v>28</v>
      </c>
      <c r="J1462" t="str">
        <f>HYPERLINK("https://climate.onebuilding.org/WMO_Region_4_North_and_Central_America/SLV_El_Salvador/SLV_UN_La.Union.786720_TMYx.2007-2021.zip")</f>
        <v>https://climate.onebuilding.org/WMO_Region_4_North_and_Central_America/SLV_El_Salvador/SLV_UN_La.Union.786720_TMYx.2007-2021.zip</v>
      </c>
    </row>
    <row r="1463" spans="1:10" x14ac:dyDescent="0.25">
      <c r="A1463" t="s">
        <v>843</v>
      </c>
      <c r="B1463" t="s">
        <v>856</v>
      </c>
      <c r="C1463" t="s">
        <v>857</v>
      </c>
      <c r="D1463">
        <v>786720</v>
      </c>
      <c r="E1463" t="s">
        <v>10</v>
      </c>
      <c r="F1463">
        <v>13.3247</v>
      </c>
      <c r="G1463">
        <v>-87.814700000000002</v>
      </c>
      <c r="H1463">
        <v>-6</v>
      </c>
      <c r="I1463">
        <v>28</v>
      </c>
      <c r="J1463" t="str">
        <f>HYPERLINK("https://climate.onebuilding.org/WMO_Region_4_North_and_Central_America/SLV_El_Salvador/SLV_UN_La.Union.786720_TMYx.2009-2023.zip")</f>
        <v>https://climate.onebuilding.org/WMO_Region_4_North_and_Central_America/SLV_El_Salvador/SLV_UN_La.Union.786720_TMYx.2009-2023.zip</v>
      </c>
    </row>
    <row r="1464" spans="1:10" x14ac:dyDescent="0.25">
      <c r="A1464" t="s">
        <v>843</v>
      </c>
      <c r="B1464" t="s">
        <v>856</v>
      </c>
      <c r="C1464" t="s">
        <v>857</v>
      </c>
      <c r="D1464">
        <v>786720</v>
      </c>
      <c r="E1464" t="s">
        <v>10</v>
      </c>
      <c r="F1464">
        <v>13.3247</v>
      </c>
      <c r="G1464">
        <v>-87.814700000000002</v>
      </c>
      <c r="H1464">
        <v>-6</v>
      </c>
      <c r="I1464">
        <v>28</v>
      </c>
      <c r="J1464" t="str">
        <f>HYPERLINK("https://climate.onebuilding.org/WMO_Region_4_North_and_Central_America/SLV_El_Salvador/SLV_UN_La.Union.786720_TMYx.zip")</f>
        <v>https://climate.onebuilding.org/WMO_Region_4_North_and_Central_America/SLV_El_Salvador/SLV_UN_La.Union.786720_TMYx.zip</v>
      </c>
    </row>
    <row r="1465" spans="1:10" x14ac:dyDescent="0.25">
      <c r="A1465" t="s">
        <v>858</v>
      </c>
      <c r="B1465" t="s">
        <v>724</v>
      </c>
      <c r="C1465" t="s">
        <v>859</v>
      </c>
      <c r="D1465">
        <v>718050</v>
      </c>
      <c r="E1465" t="s">
        <v>860</v>
      </c>
      <c r="F1465">
        <v>46.762999999999998</v>
      </c>
      <c r="G1465">
        <v>-56.176000000000002</v>
      </c>
      <c r="H1465">
        <v>-3</v>
      </c>
      <c r="I1465">
        <v>8.1999999999999993</v>
      </c>
      <c r="J1465" t="str">
        <f>HYPERLINK("https://climate.onebuilding.org/WMO_Region_4_North_and_Central_America/SPM_Saint_Pierre_and_Miquelon/SPM_SP_Saint.Pierre.AP.718050_TMYx.2004-2018.zip")</f>
        <v>https://climate.onebuilding.org/WMO_Region_4_North_and_Central_America/SPM_Saint_Pierre_and_Miquelon/SPM_SP_Saint.Pierre.AP.718050_TMYx.2004-2018.zip</v>
      </c>
    </row>
    <row r="1466" spans="1:10" x14ac:dyDescent="0.25">
      <c r="A1466" t="s">
        <v>858</v>
      </c>
      <c r="B1466" t="s">
        <v>724</v>
      </c>
      <c r="C1466" t="s">
        <v>859</v>
      </c>
      <c r="D1466">
        <v>718050</v>
      </c>
      <c r="E1466" t="s">
        <v>10</v>
      </c>
      <c r="F1466">
        <v>46.766399999999997</v>
      </c>
      <c r="G1466">
        <v>-56.179200000000002</v>
      </c>
      <c r="H1466">
        <v>-3</v>
      </c>
      <c r="I1466">
        <v>8.1999999999999993</v>
      </c>
      <c r="J1466" t="str">
        <f>HYPERLINK("https://climate.onebuilding.org/WMO_Region_4_North_and_Central_America/SPM_Saint_Pierre_and_Miquelon/SPM_SP_Saint.Pierre.AP.718050_TMYx.2007-2021.zip")</f>
        <v>https://climate.onebuilding.org/WMO_Region_4_North_and_Central_America/SPM_Saint_Pierre_and_Miquelon/SPM_SP_Saint.Pierre.AP.718050_TMYx.2007-2021.zip</v>
      </c>
    </row>
    <row r="1467" spans="1:10" x14ac:dyDescent="0.25">
      <c r="A1467" t="s">
        <v>858</v>
      </c>
      <c r="B1467" t="s">
        <v>724</v>
      </c>
      <c r="C1467" t="s">
        <v>859</v>
      </c>
      <c r="D1467">
        <v>718050</v>
      </c>
      <c r="E1467" t="s">
        <v>10</v>
      </c>
      <c r="F1467">
        <v>46.766399999999997</v>
      </c>
      <c r="G1467">
        <v>-56.179200000000002</v>
      </c>
      <c r="H1467">
        <v>-3</v>
      </c>
      <c r="I1467">
        <v>8.1999999999999993</v>
      </c>
      <c r="J1467" t="str">
        <f>HYPERLINK("https://climate.onebuilding.org/WMO_Region_4_North_and_Central_America/SPM_Saint_Pierre_and_Miquelon/SPM_SP_Saint.Pierre.AP.718050_TMYx.2009-2023.zip")</f>
        <v>https://climate.onebuilding.org/WMO_Region_4_North_and_Central_America/SPM_Saint_Pierre_and_Miquelon/SPM_SP_Saint.Pierre.AP.718050_TMYx.2009-2023.zip</v>
      </c>
    </row>
    <row r="1468" spans="1:10" x14ac:dyDescent="0.25">
      <c r="A1468" t="s">
        <v>858</v>
      </c>
      <c r="B1468" t="s">
        <v>724</v>
      </c>
      <c r="C1468" t="s">
        <v>859</v>
      </c>
      <c r="D1468">
        <v>718050</v>
      </c>
      <c r="E1468" t="s">
        <v>10</v>
      </c>
      <c r="F1468">
        <v>46.766399999999997</v>
      </c>
      <c r="G1468">
        <v>-56.179200000000002</v>
      </c>
      <c r="H1468">
        <v>-3</v>
      </c>
      <c r="I1468">
        <v>8.1999999999999993</v>
      </c>
      <c r="J1468" t="str">
        <f>HYPERLINK("https://climate.onebuilding.org/WMO_Region_4_North_and_Central_America/SPM_Saint_Pierre_and_Miquelon/SPM_SP_Saint.Pierre.AP.718050_TMYx.zip")</f>
        <v>https://climate.onebuilding.org/WMO_Region_4_North_and_Central_America/SPM_Saint_Pierre_and_Miquelon/SPM_SP_Saint.Pierre.AP.718050_TMYx.zip</v>
      </c>
    </row>
    <row r="1469" spans="1:10" x14ac:dyDescent="0.25">
      <c r="A1469" t="s">
        <v>858</v>
      </c>
      <c r="B1469" t="s">
        <v>861</v>
      </c>
      <c r="C1469" t="s">
        <v>862</v>
      </c>
      <c r="D1469">
        <v>718055</v>
      </c>
      <c r="E1469" t="s">
        <v>863</v>
      </c>
      <c r="F1469">
        <v>47.09</v>
      </c>
      <c r="G1469">
        <v>-56.38</v>
      </c>
      <c r="H1469">
        <v>-3</v>
      </c>
      <c r="I1469">
        <v>3</v>
      </c>
      <c r="J1469" t="str">
        <f>HYPERLINK("https://climate.onebuilding.org/WMO_Region_4_North_and_Central_America/SPM_Saint_Pierre_and_Miquelon/SPM_ML_Miquelon.AP.718055_TMYx.2004-2018.zip")</f>
        <v>https://climate.onebuilding.org/WMO_Region_4_North_and_Central_America/SPM_Saint_Pierre_and_Miquelon/SPM_ML_Miquelon.AP.718055_TMYx.2004-2018.zip</v>
      </c>
    </row>
    <row r="1470" spans="1:10" x14ac:dyDescent="0.25">
      <c r="A1470" t="s">
        <v>858</v>
      </c>
      <c r="B1470" t="s">
        <v>861</v>
      </c>
      <c r="C1470" t="s">
        <v>862</v>
      </c>
      <c r="D1470">
        <v>718055</v>
      </c>
      <c r="E1470" t="s">
        <v>18</v>
      </c>
      <c r="F1470">
        <v>47.09</v>
      </c>
      <c r="G1470">
        <v>-56.38</v>
      </c>
      <c r="H1470">
        <v>-3</v>
      </c>
      <c r="I1470">
        <v>3</v>
      </c>
      <c r="J1470" t="str">
        <f>HYPERLINK("https://climate.onebuilding.org/WMO_Region_4_North_and_Central_America/SPM_Saint_Pierre_and_Miquelon/SPM_ML_Miquelon.AP.718055_TMYx.2007-2021.zip")</f>
        <v>https://climate.onebuilding.org/WMO_Region_4_North_and_Central_America/SPM_Saint_Pierre_and_Miquelon/SPM_ML_Miquelon.AP.718055_TMYx.2007-2021.zip</v>
      </c>
    </row>
    <row r="1471" spans="1:10" x14ac:dyDescent="0.25">
      <c r="A1471" t="s">
        <v>858</v>
      </c>
      <c r="B1471" t="s">
        <v>861</v>
      </c>
      <c r="C1471" t="s">
        <v>862</v>
      </c>
      <c r="D1471">
        <v>718055</v>
      </c>
      <c r="E1471" t="s">
        <v>18</v>
      </c>
      <c r="F1471">
        <v>47.09</v>
      </c>
      <c r="G1471">
        <v>-56.38</v>
      </c>
      <c r="H1471">
        <v>-3</v>
      </c>
      <c r="I1471">
        <v>3</v>
      </c>
      <c r="J1471" t="str">
        <f>HYPERLINK("https://climate.onebuilding.org/WMO_Region_4_North_and_Central_America/SPM_Saint_Pierre_and_Miquelon/SPM_ML_Miquelon.AP.718055_TMYx.2009-2023.zip")</f>
        <v>https://climate.onebuilding.org/WMO_Region_4_North_and_Central_America/SPM_Saint_Pierre_and_Miquelon/SPM_ML_Miquelon.AP.718055_TMYx.2009-2023.zip</v>
      </c>
    </row>
    <row r="1472" spans="1:10" x14ac:dyDescent="0.25">
      <c r="A1472" t="s">
        <v>858</v>
      </c>
      <c r="B1472" t="s">
        <v>861</v>
      </c>
      <c r="C1472" t="s">
        <v>862</v>
      </c>
      <c r="D1472">
        <v>718055</v>
      </c>
      <c r="E1472" t="s">
        <v>18</v>
      </c>
      <c r="F1472">
        <v>47.09</v>
      </c>
      <c r="G1472">
        <v>-56.38</v>
      </c>
      <c r="H1472">
        <v>-3</v>
      </c>
      <c r="I1472">
        <v>3</v>
      </c>
      <c r="J1472" t="str">
        <f>HYPERLINK("https://climate.onebuilding.org/WMO_Region_4_North_and_Central_America/SPM_Saint_Pierre_and_Miquelon/SPM_ML_Miquelon.AP.718055_TMYx.zip")</f>
        <v>https://climate.onebuilding.org/WMO_Region_4_North_and_Central_America/SPM_Saint_Pierre_and_Miquelon/SPM_ML_Miquelon.AP.718055_TMYx.zip</v>
      </c>
    </row>
    <row r="1473" spans="1:10" x14ac:dyDescent="0.25">
      <c r="A1473" t="s">
        <v>864</v>
      </c>
      <c r="B1473" t="s">
        <v>235</v>
      </c>
      <c r="C1473" t="s">
        <v>865</v>
      </c>
      <c r="D1473">
        <v>788660</v>
      </c>
      <c r="E1473" t="s">
        <v>398</v>
      </c>
      <c r="F1473">
        <v>18.041</v>
      </c>
      <c r="G1473">
        <v>-63.109000000000002</v>
      </c>
      <c r="H1473">
        <v>-4</v>
      </c>
      <c r="I1473">
        <v>4.3</v>
      </c>
      <c r="J1473" t="str">
        <f>HYPERLINK("https://climate.onebuilding.org/WMO_Region_4_North_and_Central_America/SXM_Sint_Maarten/SXM_SM_Philipsburg-Juliana.Intl.AP.788660_TMYx.2004-2018.zip")</f>
        <v>https://climate.onebuilding.org/WMO_Region_4_North_and_Central_America/SXM_Sint_Maarten/SXM_SM_Philipsburg-Juliana.Intl.AP.788660_TMYx.2004-2018.zip</v>
      </c>
    </row>
    <row r="1474" spans="1:10" x14ac:dyDescent="0.25">
      <c r="A1474" t="s">
        <v>864</v>
      </c>
      <c r="B1474" t="s">
        <v>235</v>
      </c>
      <c r="C1474" t="s">
        <v>865</v>
      </c>
      <c r="D1474">
        <v>788660</v>
      </c>
      <c r="E1474" t="s">
        <v>10</v>
      </c>
      <c r="F1474">
        <v>18.045999999999999</v>
      </c>
      <c r="G1474">
        <v>-63.115000000000002</v>
      </c>
      <c r="H1474">
        <v>-4</v>
      </c>
      <c r="I1474">
        <v>4.3</v>
      </c>
      <c r="J1474" t="str">
        <f>HYPERLINK("https://climate.onebuilding.org/WMO_Region_4_North_and_Central_America/SXM_Sint_Maarten/SXM_SM_Philipsburg-Juliana.Intl.AP.788660_TMYx.2007-2021.zip")</f>
        <v>https://climate.onebuilding.org/WMO_Region_4_North_and_Central_America/SXM_Sint_Maarten/SXM_SM_Philipsburg-Juliana.Intl.AP.788660_TMYx.2007-2021.zip</v>
      </c>
    </row>
    <row r="1475" spans="1:10" x14ac:dyDescent="0.25">
      <c r="A1475" t="s">
        <v>864</v>
      </c>
      <c r="B1475" t="s">
        <v>235</v>
      </c>
      <c r="C1475" t="s">
        <v>865</v>
      </c>
      <c r="D1475">
        <v>788660</v>
      </c>
      <c r="E1475" t="s">
        <v>10</v>
      </c>
      <c r="F1475">
        <v>18.045999999999999</v>
      </c>
      <c r="G1475">
        <v>-63.115000000000002</v>
      </c>
      <c r="H1475">
        <v>-4</v>
      </c>
      <c r="I1475">
        <v>4.3</v>
      </c>
      <c r="J1475" t="str">
        <f>HYPERLINK("https://climate.onebuilding.org/WMO_Region_4_North_and_Central_America/SXM_Sint_Maarten/SXM_SM_Philipsburg-Juliana.Intl.AP.788660_TMYx.2009-2023.zip")</f>
        <v>https://climate.onebuilding.org/WMO_Region_4_North_and_Central_America/SXM_Sint_Maarten/SXM_SM_Philipsburg-Juliana.Intl.AP.788660_TMYx.2009-2023.zip</v>
      </c>
    </row>
    <row r="1476" spans="1:10" x14ac:dyDescent="0.25">
      <c r="A1476" t="s">
        <v>864</v>
      </c>
      <c r="B1476" t="s">
        <v>235</v>
      </c>
      <c r="C1476" t="s">
        <v>865</v>
      </c>
      <c r="D1476">
        <v>788660</v>
      </c>
      <c r="E1476" t="s">
        <v>10</v>
      </c>
      <c r="F1476">
        <v>18.045999999999999</v>
      </c>
      <c r="G1476">
        <v>-63.115000000000002</v>
      </c>
      <c r="H1476">
        <v>-4</v>
      </c>
      <c r="I1476">
        <v>4.3</v>
      </c>
      <c r="J1476" t="str">
        <f>HYPERLINK("https://climate.onebuilding.org/WMO_Region_4_North_and_Central_America/SXM_Sint_Maarten/SXM_SM_Philipsburg-Juliana.Intl.AP.788660_TMYx.zip")</f>
        <v>https://climate.onebuilding.org/WMO_Region_4_North_and_Central_America/SXM_Sint_Maarten/SXM_SM_Philipsburg-Juliana.Intl.AP.788660_TMYx.zip</v>
      </c>
    </row>
    <row r="1477" spans="1:10" x14ac:dyDescent="0.25">
      <c r="A1477" t="s">
        <v>866</v>
      </c>
      <c r="B1477" t="s">
        <v>867</v>
      </c>
      <c r="C1477" t="s">
        <v>868</v>
      </c>
      <c r="D1477">
        <v>781140</v>
      </c>
      <c r="E1477" t="s">
        <v>869</v>
      </c>
      <c r="F1477">
        <v>21.765999999999998</v>
      </c>
      <c r="G1477">
        <v>-72.266000000000005</v>
      </c>
      <c r="H1477">
        <v>-5</v>
      </c>
      <c r="I1477">
        <v>4.5999999999999996</v>
      </c>
      <c r="J1477" t="str">
        <f>HYPERLINK("https://climate.onebuilding.org/WMO_Region_4_North_and_Central_America/TCA_Turks_and_Caicos_Islands/TCA_TC_Providenciales.Intl.AP.781140_TMYx.2004-2018.zip")</f>
        <v>https://climate.onebuilding.org/WMO_Region_4_North_and_Central_America/TCA_Turks_and_Caicos_Islands/TCA_TC_Providenciales.Intl.AP.781140_TMYx.2004-2018.zip</v>
      </c>
    </row>
    <row r="1478" spans="1:10" x14ac:dyDescent="0.25">
      <c r="A1478" t="s">
        <v>866</v>
      </c>
      <c r="B1478" t="s">
        <v>867</v>
      </c>
      <c r="C1478" t="s">
        <v>868</v>
      </c>
      <c r="D1478">
        <v>781140</v>
      </c>
      <c r="E1478" t="s">
        <v>10</v>
      </c>
      <c r="F1478">
        <v>21.765999999999998</v>
      </c>
      <c r="G1478">
        <v>-72.266000000000005</v>
      </c>
      <c r="H1478">
        <v>-5</v>
      </c>
      <c r="I1478">
        <v>4.5999999999999996</v>
      </c>
      <c r="J1478" t="str">
        <f>HYPERLINK("https://climate.onebuilding.org/WMO_Region_4_North_and_Central_America/TCA_Turks_and_Caicos_Islands/TCA_TC_Providenciales.Intl.AP.781140_TMYx.2007-2021.zip")</f>
        <v>https://climate.onebuilding.org/WMO_Region_4_North_and_Central_America/TCA_Turks_and_Caicos_Islands/TCA_TC_Providenciales.Intl.AP.781140_TMYx.2007-2021.zip</v>
      </c>
    </row>
    <row r="1479" spans="1:10" x14ac:dyDescent="0.25">
      <c r="A1479" t="s">
        <v>866</v>
      </c>
      <c r="B1479" t="s">
        <v>867</v>
      </c>
      <c r="C1479" t="s">
        <v>868</v>
      </c>
      <c r="D1479">
        <v>781140</v>
      </c>
      <c r="E1479" t="s">
        <v>10</v>
      </c>
      <c r="F1479">
        <v>21.765999999999998</v>
      </c>
      <c r="G1479">
        <v>-72.266000000000005</v>
      </c>
      <c r="H1479">
        <v>-5</v>
      </c>
      <c r="I1479">
        <v>4.5999999999999996</v>
      </c>
      <c r="J1479" t="str">
        <f>HYPERLINK("https://climate.onebuilding.org/WMO_Region_4_North_and_Central_America/TCA_Turks_and_Caicos_Islands/TCA_TC_Providenciales.Intl.AP.781140_TMYx.2009-2023.zip")</f>
        <v>https://climate.onebuilding.org/WMO_Region_4_North_and_Central_America/TCA_Turks_and_Caicos_Islands/TCA_TC_Providenciales.Intl.AP.781140_TMYx.2009-2023.zip</v>
      </c>
    </row>
    <row r="1480" spans="1:10" x14ac:dyDescent="0.25">
      <c r="A1480" t="s">
        <v>866</v>
      </c>
      <c r="B1480" t="s">
        <v>867</v>
      </c>
      <c r="C1480" t="s">
        <v>868</v>
      </c>
      <c r="D1480">
        <v>781140</v>
      </c>
      <c r="E1480" t="s">
        <v>10</v>
      </c>
      <c r="F1480">
        <v>21.765999999999998</v>
      </c>
      <c r="G1480">
        <v>-72.266000000000005</v>
      </c>
      <c r="H1480">
        <v>-5</v>
      </c>
      <c r="I1480">
        <v>4.5999999999999996</v>
      </c>
      <c r="J1480" t="str">
        <f>HYPERLINK("https://climate.onebuilding.org/WMO_Region_4_North_and_Central_America/TCA_Turks_and_Caicos_Islands/TCA_TC_Providenciales.Intl.AP.781140_TMYx.zip")</f>
        <v>https://climate.onebuilding.org/WMO_Region_4_North_and_Central_America/TCA_Turks_and_Caicos_Islands/TCA_TC_Providenciales.Intl.AP.781140_TMYx.zip</v>
      </c>
    </row>
    <row r="1481" spans="1:10" x14ac:dyDescent="0.25">
      <c r="A1481" t="s">
        <v>866</v>
      </c>
      <c r="B1481" t="s">
        <v>867</v>
      </c>
      <c r="C1481" t="s">
        <v>870</v>
      </c>
      <c r="D1481">
        <v>781180</v>
      </c>
      <c r="E1481" t="s">
        <v>871</v>
      </c>
      <c r="F1481">
        <v>21.45</v>
      </c>
      <c r="G1481">
        <v>-71.150000000000006</v>
      </c>
      <c r="H1481">
        <v>-5</v>
      </c>
      <c r="I1481">
        <v>10</v>
      </c>
      <c r="J1481" t="str">
        <f>HYPERLINK("https://climate.onebuilding.org/WMO_Region_4_North_and_Central_America/TCA_Turks_and_Caicos_Islands/TCA_TC_Cockburn.Harbour-Turks.Island.781180_TMYx.2004-2018.zip")</f>
        <v>https://climate.onebuilding.org/WMO_Region_4_North_and_Central_America/TCA_Turks_and_Caicos_Islands/TCA_TC_Cockburn.Harbour-Turks.Island.781180_TMYx.2004-2018.zip</v>
      </c>
    </row>
    <row r="1482" spans="1:10" x14ac:dyDescent="0.25">
      <c r="A1482" t="s">
        <v>866</v>
      </c>
      <c r="B1482" t="s">
        <v>867</v>
      </c>
      <c r="C1482" t="s">
        <v>870</v>
      </c>
      <c r="D1482">
        <v>781180</v>
      </c>
      <c r="E1482" t="s">
        <v>10</v>
      </c>
      <c r="F1482">
        <v>21.45</v>
      </c>
      <c r="G1482">
        <v>-71.150000000000006</v>
      </c>
      <c r="H1482">
        <v>-5</v>
      </c>
      <c r="I1482">
        <v>10</v>
      </c>
      <c r="J1482" t="str">
        <f>HYPERLINK("https://climate.onebuilding.org/WMO_Region_4_North_and_Central_America/TCA_Turks_and_Caicos_Islands/TCA_TC_Cockburn.Harbour-Turks.Island.781180_TMYx.2007-2021.zip")</f>
        <v>https://climate.onebuilding.org/WMO_Region_4_North_and_Central_America/TCA_Turks_and_Caicos_Islands/TCA_TC_Cockburn.Harbour-Turks.Island.781180_TMYx.2007-2021.zip</v>
      </c>
    </row>
    <row r="1483" spans="1:10" x14ac:dyDescent="0.25">
      <c r="A1483" t="s">
        <v>866</v>
      </c>
      <c r="B1483" t="s">
        <v>867</v>
      </c>
      <c r="C1483" t="s">
        <v>870</v>
      </c>
      <c r="D1483">
        <v>781180</v>
      </c>
      <c r="E1483" t="s">
        <v>10</v>
      </c>
      <c r="F1483">
        <v>21.45</v>
      </c>
      <c r="G1483">
        <v>-71.150000000000006</v>
      </c>
      <c r="H1483">
        <v>-5</v>
      </c>
      <c r="I1483">
        <v>10</v>
      </c>
      <c r="J1483" t="str">
        <f>HYPERLINK("https://climate.onebuilding.org/WMO_Region_4_North_and_Central_America/TCA_Turks_and_Caicos_Islands/TCA_TC_Cockburn.Harbour-Turks.Island.781180_TMYx.2009-2023.zip")</f>
        <v>https://climate.onebuilding.org/WMO_Region_4_North_and_Central_America/TCA_Turks_and_Caicos_Islands/TCA_TC_Cockburn.Harbour-Turks.Island.781180_TMYx.2009-2023.zip</v>
      </c>
    </row>
    <row r="1484" spans="1:10" x14ac:dyDescent="0.25">
      <c r="A1484" t="s">
        <v>866</v>
      </c>
      <c r="B1484" t="s">
        <v>867</v>
      </c>
      <c r="C1484" t="s">
        <v>870</v>
      </c>
      <c r="D1484">
        <v>781180</v>
      </c>
      <c r="E1484" t="s">
        <v>10</v>
      </c>
      <c r="F1484">
        <v>21.45</v>
      </c>
      <c r="G1484">
        <v>-71.150000000000006</v>
      </c>
      <c r="H1484">
        <v>-5</v>
      </c>
      <c r="I1484">
        <v>10</v>
      </c>
      <c r="J1484" t="str">
        <f>HYPERLINK("https://climate.onebuilding.org/WMO_Region_4_North_and_Central_America/TCA_Turks_and_Caicos_Islands/TCA_TC_Cockburn.Harbour-Turks.Island.781180_TMYx.zip")</f>
        <v>https://climate.onebuilding.org/WMO_Region_4_North_and_Central_America/TCA_Turks_and_Caicos_Islands/TCA_TC_Cockburn.Harbour-Turks.Island.781180_TMYx.zip</v>
      </c>
    </row>
    <row r="1485" spans="1:10" x14ac:dyDescent="0.25">
      <c r="A1485" t="s">
        <v>872</v>
      </c>
      <c r="B1485" t="s">
        <v>873</v>
      </c>
      <c r="C1485" t="s">
        <v>874</v>
      </c>
      <c r="D1485">
        <v>789613</v>
      </c>
      <c r="E1485" t="s">
        <v>875</v>
      </c>
      <c r="F1485">
        <v>11.15</v>
      </c>
      <c r="G1485">
        <v>-60.832999999999998</v>
      </c>
      <c r="H1485">
        <v>-4</v>
      </c>
      <c r="I1485">
        <v>11</v>
      </c>
      <c r="J1485" t="str">
        <f>HYPERLINK("https://climate.onebuilding.org/WMO_Region_4_North_and_Central_America/TTO_Trinidad_and_Tobago/TTO_TO_Canaan-Scarborough-Robinson.Intl.AP.789613_TMYx.2004-2018.zip")</f>
        <v>https://climate.onebuilding.org/WMO_Region_4_North_and_Central_America/TTO_Trinidad_and_Tobago/TTO_TO_Canaan-Scarborough-Robinson.Intl.AP.789613_TMYx.2004-2018.zip</v>
      </c>
    </row>
    <row r="1486" spans="1:10" x14ac:dyDescent="0.25">
      <c r="A1486" t="s">
        <v>872</v>
      </c>
      <c r="B1486" t="s">
        <v>873</v>
      </c>
      <c r="C1486" t="s">
        <v>874</v>
      </c>
      <c r="D1486">
        <v>789613</v>
      </c>
      <c r="E1486" t="s">
        <v>10</v>
      </c>
      <c r="F1486">
        <v>11.15</v>
      </c>
      <c r="G1486">
        <v>-60.832999999999998</v>
      </c>
      <c r="H1486">
        <v>-4</v>
      </c>
      <c r="I1486">
        <v>11</v>
      </c>
      <c r="J1486" t="str">
        <f>HYPERLINK("https://climate.onebuilding.org/WMO_Region_4_North_and_Central_America/TTO_Trinidad_and_Tobago/TTO_TO_Canaan-Scarborough-Robinson.Intl.AP.789613_TMYx.2007-2021.zip")</f>
        <v>https://climate.onebuilding.org/WMO_Region_4_North_and_Central_America/TTO_Trinidad_and_Tobago/TTO_TO_Canaan-Scarborough-Robinson.Intl.AP.789613_TMYx.2007-2021.zip</v>
      </c>
    </row>
    <row r="1487" spans="1:10" x14ac:dyDescent="0.25">
      <c r="A1487" t="s">
        <v>872</v>
      </c>
      <c r="B1487" t="s">
        <v>873</v>
      </c>
      <c r="C1487" t="s">
        <v>874</v>
      </c>
      <c r="D1487">
        <v>789613</v>
      </c>
      <c r="E1487" t="s">
        <v>10</v>
      </c>
      <c r="F1487">
        <v>11.15</v>
      </c>
      <c r="G1487">
        <v>-60.832999999999998</v>
      </c>
      <c r="H1487">
        <v>-4</v>
      </c>
      <c r="I1487">
        <v>11</v>
      </c>
      <c r="J1487" t="str">
        <f>HYPERLINK("https://climate.onebuilding.org/WMO_Region_4_North_and_Central_America/TTO_Trinidad_and_Tobago/TTO_TO_Canaan-Scarborough-Robinson.Intl.AP.789613_TMYx.2009-2023.zip")</f>
        <v>https://climate.onebuilding.org/WMO_Region_4_North_and_Central_America/TTO_Trinidad_and_Tobago/TTO_TO_Canaan-Scarborough-Robinson.Intl.AP.789613_TMYx.2009-2023.zip</v>
      </c>
    </row>
    <row r="1488" spans="1:10" x14ac:dyDescent="0.25">
      <c r="A1488" t="s">
        <v>872</v>
      </c>
      <c r="B1488" t="s">
        <v>873</v>
      </c>
      <c r="C1488" t="s">
        <v>874</v>
      </c>
      <c r="D1488">
        <v>789613</v>
      </c>
      <c r="E1488" t="s">
        <v>10</v>
      </c>
      <c r="F1488">
        <v>11.15</v>
      </c>
      <c r="G1488">
        <v>-60.832999999999998</v>
      </c>
      <c r="H1488">
        <v>-4</v>
      </c>
      <c r="I1488">
        <v>11</v>
      </c>
      <c r="J1488" t="str">
        <f>HYPERLINK("https://climate.onebuilding.org/WMO_Region_4_North_and_Central_America/TTO_Trinidad_and_Tobago/TTO_TO_Canaan-Scarborough-Robinson.Intl.AP.789613_TMYx.zip")</f>
        <v>https://climate.onebuilding.org/WMO_Region_4_North_and_Central_America/TTO_Trinidad_and_Tobago/TTO_TO_Canaan-Scarborough-Robinson.Intl.AP.789613_TMYx.zip</v>
      </c>
    </row>
    <row r="1489" spans="1:10" x14ac:dyDescent="0.25">
      <c r="A1489" t="s">
        <v>872</v>
      </c>
      <c r="B1489" t="s">
        <v>873</v>
      </c>
      <c r="C1489" t="s">
        <v>876</v>
      </c>
      <c r="D1489">
        <v>789620</v>
      </c>
      <c r="E1489" t="s">
        <v>877</v>
      </c>
      <c r="F1489">
        <v>11.15</v>
      </c>
      <c r="G1489">
        <v>-60.832999999999998</v>
      </c>
      <c r="H1489">
        <v>-4</v>
      </c>
      <c r="I1489">
        <v>6</v>
      </c>
      <c r="J1489" t="str">
        <f>HYPERLINK("https://climate.onebuilding.org/WMO_Region_4_North_and_Central_America/TTO_Trinidad_and_Tobago/TTO_TO_Tobago-Crown.Point.Intl.AP.789620_TMYx.2004-2018.zip")</f>
        <v>https://climate.onebuilding.org/WMO_Region_4_North_and_Central_America/TTO_Trinidad_and_Tobago/TTO_TO_Tobago-Crown.Point.Intl.AP.789620_TMYx.2004-2018.zip</v>
      </c>
    </row>
    <row r="1490" spans="1:10" x14ac:dyDescent="0.25">
      <c r="A1490" t="s">
        <v>872</v>
      </c>
      <c r="B1490" t="s">
        <v>873</v>
      </c>
      <c r="C1490" t="s">
        <v>876</v>
      </c>
      <c r="D1490">
        <v>789620</v>
      </c>
      <c r="E1490" t="s">
        <v>877</v>
      </c>
      <c r="F1490">
        <v>11.15</v>
      </c>
      <c r="G1490">
        <v>-60.832999999999998</v>
      </c>
      <c r="H1490">
        <v>-4</v>
      </c>
      <c r="I1490">
        <v>6</v>
      </c>
      <c r="J1490" t="str">
        <f>HYPERLINK("https://climate.onebuilding.org/WMO_Region_4_North_and_Central_America/TTO_Trinidad_and_Tobago/TTO_TO_Tobago-Crown.Point.Intl.AP.789620_TMYx.zip")</f>
        <v>https://climate.onebuilding.org/WMO_Region_4_North_and_Central_America/TTO_Trinidad_and_Tobago/TTO_TO_Tobago-Crown.Point.Intl.AP.789620_TMYx.zip</v>
      </c>
    </row>
    <row r="1491" spans="1:10" x14ac:dyDescent="0.25">
      <c r="A1491" t="s">
        <v>872</v>
      </c>
      <c r="B1491" t="s">
        <v>878</v>
      </c>
      <c r="C1491" t="s">
        <v>879</v>
      </c>
      <c r="D1491">
        <v>789700</v>
      </c>
      <c r="E1491" t="s">
        <v>880</v>
      </c>
      <c r="F1491">
        <v>10.595000000000001</v>
      </c>
      <c r="G1491">
        <v>-61.337000000000003</v>
      </c>
      <c r="H1491">
        <v>-4</v>
      </c>
      <c r="I1491">
        <v>17.7</v>
      </c>
      <c r="J1491" t="str">
        <f>HYPERLINK("https://climate.onebuilding.org/WMO_Region_4_North_and_Central_America/TTO_Trinidad_and_Tobago/TTO_TP_Piarco.Intl.AP.789700_TMYx.2004-2018.zip")</f>
        <v>https://climate.onebuilding.org/WMO_Region_4_North_and_Central_America/TTO_Trinidad_and_Tobago/TTO_TP_Piarco.Intl.AP.789700_TMYx.2004-2018.zip</v>
      </c>
    </row>
    <row r="1492" spans="1:10" x14ac:dyDescent="0.25">
      <c r="A1492" t="s">
        <v>872</v>
      </c>
      <c r="B1492" t="s">
        <v>878</v>
      </c>
      <c r="C1492" t="s">
        <v>879</v>
      </c>
      <c r="D1492">
        <v>789700</v>
      </c>
      <c r="E1492" t="s">
        <v>10</v>
      </c>
      <c r="F1492">
        <v>10.595000000000001</v>
      </c>
      <c r="G1492">
        <v>-61.337000000000003</v>
      </c>
      <c r="H1492">
        <v>-4</v>
      </c>
      <c r="I1492">
        <v>17.7</v>
      </c>
      <c r="J1492" t="str">
        <f>HYPERLINK("https://climate.onebuilding.org/WMO_Region_4_North_and_Central_America/TTO_Trinidad_and_Tobago/TTO_TP_Piarco.Intl.AP.789700_TMYx.2007-2021.zip")</f>
        <v>https://climate.onebuilding.org/WMO_Region_4_North_and_Central_America/TTO_Trinidad_and_Tobago/TTO_TP_Piarco.Intl.AP.789700_TMYx.2007-2021.zip</v>
      </c>
    </row>
    <row r="1493" spans="1:10" x14ac:dyDescent="0.25">
      <c r="A1493" t="s">
        <v>872</v>
      </c>
      <c r="B1493" t="s">
        <v>878</v>
      </c>
      <c r="C1493" t="s">
        <v>879</v>
      </c>
      <c r="D1493">
        <v>789700</v>
      </c>
      <c r="E1493" t="s">
        <v>10</v>
      </c>
      <c r="F1493">
        <v>10.595000000000001</v>
      </c>
      <c r="G1493">
        <v>-61.337000000000003</v>
      </c>
      <c r="H1493">
        <v>-4</v>
      </c>
      <c r="I1493">
        <v>17.7</v>
      </c>
      <c r="J1493" t="str">
        <f>HYPERLINK("https://climate.onebuilding.org/WMO_Region_4_North_and_Central_America/TTO_Trinidad_and_Tobago/TTO_TP_Piarco.Intl.AP.789700_TMYx.2009-2023.zip")</f>
        <v>https://climate.onebuilding.org/WMO_Region_4_North_and_Central_America/TTO_Trinidad_and_Tobago/TTO_TP_Piarco.Intl.AP.789700_TMYx.2009-2023.zip</v>
      </c>
    </row>
    <row r="1494" spans="1:10" x14ac:dyDescent="0.25">
      <c r="A1494" t="s">
        <v>872</v>
      </c>
      <c r="B1494" t="s">
        <v>878</v>
      </c>
      <c r="C1494" t="s">
        <v>879</v>
      </c>
      <c r="D1494">
        <v>789700</v>
      </c>
      <c r="E1494" t="s">
        <v>10</v>
      </c>
      <c r="F1494">
        <v>10.595000000000001</v>
      </c>
      <c r="G1494">
        <v>-61.337000000000003</v>
      </c>
      <c r="H1494">
        <v>-4</v>
      </c>
      <c r="I1494">
        <v>17.7</v>
      </c>
      <c r="J1494" t="str">
        <f>HYPERLINK("https://climate.onebuilding.org/WMO_Region_4_North_and_Central_America/TTO_Trinidad_and_Tobago/TTO_TP_Piarco.Intl.AP.789700_TMYx.zip")</f>
        <v>https://climate.onebuilding.org/WMO_Region_4_North_and_Central_America/TTO_Trinidad_and_Tobago/TTO_TP_Piarco.Intl.AP.789700_TMYx.zip</v>
      </c>
    </row>
    <row r="1495" spans="1:10" x14ac:dyDescent="0.25">
      <c r="A1495" t="s">
        <v>881</v>
      </c>
      <c r="B1495" t="s">
        <v>40</v>
      </c>
      <c r="C1495" t="s">
        <v>882</v>
      </c>
      <c r="D1495">
        <v>789490</v>
      </c>
      <c r="E1495" t="s">
        <v>18</v>
      </c>
      <c r="F1495">
        <v>12.988</v>
      </c>
      <c r="G1495">
        <v>-61.262</v>
      </c>
      <c r="H1495">
        <v>-4</v>
      </c>
      <c r="I1495">
        <v>4.5999999999999996</v>
      </c>
      <c r="J1495" t="str">
        <f>HYPERLINK("https://climate.onebuilding.org/WMO_Region_4_North_and_Central_America/VCT_Saint_Vincent_and_The_Grenadines/VCT_GT_Mitchell.AP-Bequia.AP.789490_TMYx.2007-2021.zip")</f>
        <v>https://climate.onebuilding.org/WMO_Region_4_North_and_Central_America/VCT_Saint_Vincent_and_The_Grenadines/VCT_GT_Mitchell.AP-Bequia.AP.789490_TMYx.2007-2021.zip</v>
      </c>
    </row>
    <row r="1496" spans="1:10" x14ac:dyDescent="0.25">
      <c r="A1496" t="s">
        <v>881</v>
      </c>
      <c r="B1496" t="s">
        <v>40</v>
      </c>
      <c r="C1496" t="s">
        <v>882</v>
      </c>
      <c r="D1496">
        <v>789490</v>
      </c>
      <c r="E1496" t="s">
        <v>18</v>
      </c>
      <c r="F1496">
        <v>12.988</v>
      </c>
      <c r="G1496">
        <v>-61.262</v>
      </c>
      <c r="H1496">
        <v>-4</v>
      </c>
      <c r="I1496">
        <v>4.5999999999999996</v>
      </c>
      <c r="J1496" t="str">
        <f>HYPERLINK("https://climate.onebuilding.org/WMO_Region_4_North_and_Central_America/VCT_Saint_Vincent_and_The_Grenadines/VCT_GT_Mitchell.AP-Bequia.AP.789490_TMYx.2009-2023.zip")</f>
        <v>https://climate.onebuilding.org/WMO_Region_4_North_and_Central_America/VCT_Saint_Vincent_and_The_Grenadines/VCT_GT_Mitchell.AP-Bequia.AP.789490_TMYx.2009-2023.zip</v>
      </c>
    </row>
    <row r="1497" spans="1:10" x14ac:dyDescent="0.25">
      <c r="A1497" t="s">
        <v>881</v>
      </c>
      <c r="B1497" t="s">
        <v>40</v>
      </c>
      <c r="C1497" t="s">
        <v>882</v>
      </c>
      <c r="D1497">
        <v>789490</v>
      </c>
      <c r="E1497" t="s">
        <v>18</v>
      </c>
      <c r="F1497">
        <v>12.988</v>
      </c>
      <c r="G1497">
        <v>-61.262</v>
      </c>
      <c r="H1497">
        <v>-4</v>
      </c>
      <c r="I1497">
        <v>4.5999999999999996</v>
      </c>
      <c r="J1497" t="str">
        <f>HYPERLINK("https://climate.onebuilding.org/WMO_Region_4_North_and_Central_America/VCT_Saint_Vincent_and_The_Grenadines/VCT_GT_Mitchell.AP-Bequia.AP.789490_TMYx.zip")</f>
        <v>https://climate.onebuilding.org/WMO_Region_4_North_and_Central_America/VCT_Saint_Vincent_and_The_Grenadines/VCT_GT_Mitchell.AP-Bequia.AP.789490_TMYx.zip</v>
      </c>
    </row>
    <row r="1498" spans="1:10" x14ac:dyDescent="0.25">
      <c r="A1498" t="s">
        <v>881</v>
      </c>
      <c r="B1498" t="s">
        <v>40</v>
      </c>
      <c r="C1498" t="s">
        <v>883</v>
      </c>
      <c r="D1498">
        <v>789500</v>
      </c>
      <c r="E1498" t="s">
        <v>10</v>
      </c>
      <c r="F1498">
        <v>12.699</v>
      </c>
      <c r="G1498">
        <v>-61.341999999999999</v>
      </c>
      <c r="H1498">
        <v>-4</v>
      </c>
      <c r="I1498">
        <v>3.4</v>
      </c>
      <c r="J1498" t="str">
        <f>HYPERLINK("https://climate.onebuilding.org/WMO_Region_4_North_and_Central_America/VCT_Saint_Vincent_and_The_Grenadines/VCT_GT_Canouan.Island.789500_TMYx.2007-2021.zip")</f>
        <v>https://climate.onebuilding.org/WMO_Region_4_North_and_Central_America/VCT_Saint_Vincent_and_The_Grenadines/VCT_GT_Canouan.Island.789500_TMYx.2007-2021.zip</v>
      </c>
    </row>
    <row r="1499" spans="1:10" x14ac:dyDescent="0.25">
      <c r="A1499" t="s">
        <v>881</v>
      </c>
      <c r="B1499" t="s">
        <v>40</v>
      </c>
      <c r="C1499" t="s">
        <v>883</v>
      </c>
      <c r="D1499">
        <v>789500</v>
      </c>
      <c r="E1499" t="s">
        <v>10</v>
      </c>
      <c r="F1499">
        <v>12.699</v>
      </c>
      <c r="G1499">
        <v>-61.341999999999999</v>
      </c>
      <c r="H1499">
        <v>-4</v>
      </c>
      <c r="I1499">
        <v>3.4</v>
      </c>
      <c r="J1499" t="str">
        <f>HYPERLINK("https://climate.onebuilding.org/WMO_Region_4_North_and_Central_America/VCT_Saint_Vincent_and_The_Grenadines/VCT_GT_Canouan.Island.789500_TMYx.2009-2023.zip")</f>
        <v>https://climate.onebuilding.org/WMO_Region_4_North_and_Central_America/VCT_Saint_Vincent_and_The_Grenadines/VCT_GT_Canouan.Island.789500_TMYx.2009-2023.zip</v>
      </c>
    </row>
    <row r="1500" spans="1:10" x14ac:dyDescent="0.25">
      <c r="A1500" t="s">
        <v>881</v>
      </c>
      <c r="B1500" t="s">
        <v>40</v>
      </c>
      <c r="C1500" t="s">
        <v>883</v>
      </c>
      <c r="D1500">
        <v>789500</v>
      </c>
      <c r="E1500" t="s">
        <v>10</v>
      </c>
      <c r="F1500">
        <v>12.699</v>
      </c>
      <c r="G1500">
        <v>-61.341999999999999</v>
      </c>
      <c r="H1500">
        <v>-4</v>
      </c>
      <c r="I1500">
        <v>3.4</v>
      </c>
      <c r="J1500" t="str">
        <f>HYPERLINK("https://climate.onebuilding.org/WMO_Region_4_North_and_Central_America/VCT_Saint_Vincent_and_The_Grenadines/VCT_GT_Canouan.Island.789500_TMYx.zip")</f>
        <v>https://climate.onebuilding.org/WMO_Region_4_North_and_Central_America/VCT_Saint_Vincent_and_The_Grenadines/VCT_GT_Canouan.Island.789500_TMYx.zip</v>
      </c>
    </row>
    <row r="1501" spans="1:10" x14ac:dyDescent="0.25">
      <c r="A1501" t="s">
        <v>881</v>
      </c>
      <c r="B1501" t="s">
        <v>40</v>
      </c>
      <c r="C1501" t="s">
        <v>884</v>
      </c>
      <c r="D1501">
        <v>789505</v>
      </c>
      <c r="E1501" t="s">
        <v>10</v>
      </c>
      <c r="F1501">
        <v>12.888</v>
      </c>
      <c r="G1501">
        <v>-61.18</v>
      </c>
      <c r="H1501">
        <v>-4</v>
      </c>
      <c r="I1501">
        <v>2.4</v>
      </c>
      <c r="J1501" t="str">
        <f>HYPERLINK("https://climate.onebuilding.org/WMO_Region_4_North_and_Central_America/VCT_Saint_Vincent_and_The_Grenadines/VCT_GT_Mustique.Island.789505_TMYx.2007-2021.zip")</f>
        <v>https://climate.onebuilding.org/WMO_Region_4_North_and_Central_America/VCT_Saint_Vincent_and_The_Grenadines/VCT_GT_Mustique.Island.789505_TMYx.2007-2021.zip</v>
      </c>
    </row>
    <row r="1502" spans="1:10" x14ac:dyDescent="0.25">
      <c r="A1502" t="s">
        <v>881</v>
      </c>
      <c r="B1502" t="s">
        <v>40</v>
      </c>
      <c r="C1502" t="s">
        <v>884</v>
      </c>
      <c r="D1502">
        <v>789505</v>
      </c>
      <c r="E1502" t="s">
        <v>10</v>
      </c>
      <c r="F1502">
        <v>12.888</v>
      </c>
      <c r="G1502">
        <v>-61.18</v>
      </c>
      <c r="H1502">
        <v>-4</v>
      </c>
      <c r="I1502">
        <v>2.4</v>
      </c>
      <c r="J1502" t="str">
        <f>HYPERLINK("https://climate.onebuilding.org/WMO_Region_4_North_and_Central_America/VCT_Saint_Vincent_and_The_Grenadines/VCT_GT_Mustique.Island.789505_TMYx.2009-2023.zip")</f>
        <v>https://climate.onebuilding.org/WMO_Region_4_North_and_Central_America/VCT_Saint_Vincent_and_The_Grenadines/VCT_GT_Mustique.Island.789505_TMYx.2009-2023.zip</v>
      </c>
    </row>
    <row r="1503" spans="1:10" x14ac:dyDescent="0.25">
      <c r="A1503" t="s">
        <v>881</v>
      </c>
      <c r="B1503" t="s">
        <v>40</v>
      </c>
      <c r="C1503" t="s">
        <v>884</v>
      </c>
      <c r="D1503">
        <v>789505</v>
      </c>
      <c r="E1503" t="s">
        <v>10</v>
      </c>
      <c r="F1503">
        <v>12.888</v>
      </c>
      <c r="G1503">
        <v>-61.18</v>
      </c>
      <c r="H1503">
        <v>-4</v>
      </c>
      <c r="I1503">
        <v>2.4</v>
      </c>
      <c r="J1503" t="str">
        <f>HYPERLINK("https://climate.onebuilding.org/WMO_Region_4_North_and_Central_America/VCT_Saint_Vincent_and_The_Grenadines/VCT_GT_Mustique.Island.789505_TMYx.zip")</f>
        <v>https://climate.onebuilding.org/WMO_Region_4_North_and_Central_America/VCT_Saint_Vincent_and_The_Grenadines/VCT_GT_Mustique.Island.789505_TMYx.zip</v>
      </c>
    </row>
    <row r="1504" spans="1:10" x14ac:dyDescent="0.25">
      <c r="A1504" t="s">
        <v>881</v>
      </c>
      <c r="B1504" t="s">
        <v>279</v>
      </c>
      <c r="C1504" t="s">
        <v>885</v>
      </c>
      <c r="D1504">
        <v>789510</v>
      </c>
      <c r="E1504" t="s">
        <v>886</v>
      </c>
      <c r="F1504">
        <v>13.144</v>
      </c>
      <c r="G1504">
        <v>-61.210999999999999</v>
      </c>
      <c r="H1504">
        <v>-4</v>
      </c>
      <c r="I1504">
        <v>20.100000000000001</v>
      </c>
      <c r="J1504" t="str">
        <f>HYPERLINK("https://climate.onebuilding.org/WMO_Region_4_North_and_Central_America/VCT_Saint_Vincent_and_The_Grenadines/VCT_GE_Kingstown-Argyle.Intl.AP.789510_TMYx.2004-2018.zip")</f>
        <v>https://climate.onebuilding.org/WMO_Region_4_North_and_Central_America/VCT_Saint_Vincent_and_The_Grenadines/VCT_GE_Kingstown-Argyle.Intl.AP.789510_TMYx.2004-2018.zip</v>
      </c>
    </row>
    <row r="1505" spans="1:10" x14ac:dyDescent="0.25">
      <c r="A1505" t="s">
        <v>881</v>
      </c>
      <c r="B1505" t="s">
        <v>279</v>
      </c>
      <c r="C1505" t="s">
        <v>885</v>
      </c>
      <c r="D1505">
        <v>789510</v>
      </c>
      <c r="E1505" t="s">
        <v>10</v>
      </c>
      <c r="F1505">
        <v>13.144</v>
      </c>
      <c r="G1505">
        <v>-61.210999999999999</v>
      </c>
      <c r="H1505">
        <v>-4</v>
      </c>
      <c r="I1505">
        <v>20.100000000000001</v>
      </c>
      <c r="J1505" t="str">
        <f>HYPERLINK("https://climate.onebuilding.org/WMO_Region_4_North_and_Central_America/VCT_Saint_Vincent_and_The_Grenadines/VCT_GE_Kingstown-Argyle.Intl.AP.789510_TMYx.2007-2021.zip")</f>
        <v>https://climate.onebuilding.org/WMO_Region_4_North_and_Central_America/VCT_Saint_Vincent_and_The_Grenadines/VCT_GE_Kingstown-Argyle.Intl.AP.789510_TMYx.2007-2021.zip</v>
      </c>
    </row>
    <row r="1506" spans="1:10" x14ac:dyDescent="0.25">
      <c r="A1506" t="s">
        <v>881</v>
      </c>
      <c r="B1506" t="s">
        <v>279</v>
      </c>
      <c r="C1506" t="s">
        <v>885</v>
      </c>
      <c r="D1506">
        <v>789510</v>
      </c>
      <c r="E1506" t="s">
        <v>10</v>
      </c>
      <c r="F1506">
        <v>13.144</v>
      </c>
      <c r="G1506">
        <v>-61.210999999999999</v>
      </c>
      <c r="H1506">
        <v>-4</v>
      </c>
      <c r="I1506">
        <v>20.100000000000001</v>
      </c>
      <c r="J1506" t="str">
        <f>HYPERLINK("https://climate.onebuilding.org/WMO_Region_4_North_and_Central_America/VCT_Saint_Vincent_and_The_Grenadines/VCT_GE_Kingstown-Argyle.Intl.AP.789510_TMYx.2009-2023.zip")</f>
        <v>https://climate.onebuilding.org/WMO_Region_4_North_and_Central_America/VCT_Saint_Vincent_and_The_Grenadines/VCT_GE_Kingstown-Argyle.Intl.AP.789510_TMYx.2009-2023.zip</v>
      </c>
    </row>
    <row r="1507" spans="1:10" x14ac:dyDescent="0.25">
      <c r="A1507" t="s">
        <v>881</v>
      </c>
      <c r="B1507" t="s">
        <v>279</v>
      </c>
      <c r="C1507" t="s">
        <v>885</v>
      </c>
      <c r="D1507">
        <v>789510</v>
      </c>
      <c r="E1507" t="s">
        <v>10</v>
      </c>
      <c r="F1507">
        <v>13.144</v>
      </c>
      <c r="G1507">
        <v>-61.210999999999999</v>
      </c>
      <c r="H1507">
        <v>-4</v>
      </c>
      <c r="I1507">
        <v>20.100000000000001</v>
      </c>
      <c r="J1507" t="str">
        <f>HYPERLINK("https://climate.onebuilding.org/WMO_Region_4_North_and_Central_America/VCT_Saint_Vincent_and_The_Grenadines/VCT_GE_Kingstown-Argyle.Intl.AP.789510_TMYx.zip")</f>
        <v>https://climate.onebuilding.org/WMO_Region_4_North_and_Central_America/VCT_Saint_Vincent_and_The_Grenadines/VCT_GE_Kingstown-Argyle.Intl.AP.789510_TMYx.zip</v>
      </c>
    </row>
    <row r="1508" spans="1:10" x14ac:dyDescent="0.25">
      <c r="A1508" t="s">
        <v>887</v>
      </c>
      <c r="B1508" t="s">
        <v>888</v>
      </c>
      <c r="C1508" t="s">
        <v>889</v>
      </c>
      <c r="D1508">
        <v>785500</v>
      </c>
      <c r="E1508" t="s">
        <v>890</v>
      </c>
      <c r="F1508">
        <v>18.445</v>
      </c>
      <c r="G1508">
        <v>-64.543000000000006</v>
      </c>
      <c r="H1508">
        <v>-4</v>
      </c>
      <c r="I1508">
        <v>4.5999999999999996</v>
      </c>
      <c r="J1508" t="str">
        <f>HYPERLINK("https://climate.onebuilding.org/WMO_Region_4_North_and_Central_America/VGB_British_Virgin_Islands/VGB_VI_Lettsome.Intl.AP.785500_TMYx.2004-2018.zip")</f>
        <v>https://climate.onebuilding.org/WMO_Region_4_North_and_Central_America/VGB_British_Virgin_Islands/VGB_VI_Lettsome.Intl.AP.785500_TMYx.2004-2018.zip</v>
      </c>
    </row>
    <row r="1509" spans="1:10" x14ac:dyDescent="0.25">
      <c r="A1509" t="s">
        <v>887</v>
      </c>
      <c r="B1509" t="s">
        <v>888</v>
      </c>
      <c r="C1509" t="s">
        <v>889</v>
      </c>
      <c r="D1509">
        <v>785500</v>
      </c>
      <c r="E1509" t="s">
        <v>10</v>
      </c>
      <c r="F1509">
        <v>18.445</v>
      </c>
      <c r="G1509">
        <v>-64.543000000000006</v>
      </c>
      <c r="H1509">
        <v>-4</v>
      </c>
      <c r="I1509">
        <v>4.5999999999999996</v>
      </c>
      <c r="J1509" t="str">
        <f>HYPERLINK("https://climate.onebuilding.org/WMO_Region_4_North_and_Central_America/VGB_British_Virgin_Islands/VGB_VI_Lettsome.Intl.AP.785500_TMYx.2007-2021.zip")</f>
        <v>https://climate.onebuilding.org/WMO_Region_4_North_and_Central_America/VGB_British_Virgin_Islands/VGB_VI_Lettsome.Intl.AP.785500_TMYx.2007-2021.zip</v>
      </c>
    </row>
    <row r="1510" spans="1:10" x14ac:dyDescent="0.25">
      <c r="A1510" t="s">
        <v>887</v>
      </c>
      <c r="B1510" t="s">
        <v>888</v>
      </c>
      <c r="C1510" t="s">
        <v>889</v>
      </c>
      <c r="D1510">
        <v>785500</v>
      </c>
      <c r="E1510" t="s">
        <v>10</v>
      </c>
      <c r="F1510">
        <v>18.445</v>
      </c>
      <c r="G1510">
        <v>-64.543000000000006</v>
      </c>
      <c r="H1510">
        <v>-4</v>
      </c>
      <c r="I1510">
        <v>4.5999999999999996</v>
      </c>
      <c r="J1510" t="str">
        <f>HYPERLINK("https://climate.onebuilding.org/WMO_Region_4_North_and_Central_America/VGB_British_Virgin_Islands/VGB_VI_Lettsome.Intl.AP.785500_TMYx.2009-2023.zip")</f>
        <v>https://climate.onebuilding.org/WMO_Region_4_North_and_Central_America/VGB_British_Virgin_Islands/VGB_VI_Lettsome.Intl.AP.785500_TMYx.2009-2023.zip</v>
      </c>
    </row>
    <row r="1511" spans="1:10" x14ac:dyDescent="0.25">
      <c r="A1511" t="s">
        <v>887</v>
      </c>
      <c r="B1511" t="s">
        <v>888</v>
      </c>
      <c r="C1511" t="s">
        <v>889</v>
      </c>
      <c r="D1511">
        <v>785500</v>
      </c>
      <c r="E1511" t="s">
        <v>10</v>
      </c>
      <c r="F1511">
        <v>18.445</v>
      </c>
      <c r="G1511">
        <v>-64.543000000000006</v>
      </c>
      <c r="H1511">
        <v>-4</v>
      </c>
      <c r="I1511">
        <v>4.5999999999999996</v>
      </c>
      <c r="J1511" t="str">
        <f>HYPERLINK("https://climate.onebuilding.org/WMO_Region_4_North_and_Central_America/VGB_British_Virgin_Islands/VGB_VI_Lettsome.Intl.AP.785500_TMYx.zip")</f>
        <v>https://climate.onebuilding.org/WMO_Region_4_North_and_Central_America/VGB_British_Virgin_Islands/VGB_VI_Lettsome.Intl.AP.785500_TMYx.zip</v>
      </c>
    </row>
    <row r="1512" spans="1:10" x14ac:dyDescent="0.25">
      <c r="A1512" t="s">
        <v>891</v>
      </c>
      <c r="B1512" t="s">
        <v>240</v>
      </c>
      <c r="C1512" t="s">
        <v>892</v>
      </c>
      <c r="D1512">
        <v>785430</v>
      </c>
      <c r="E1512" t="s">
        <v>893</v>
      </c>
      <c r="F1512">
        <v>18.335999999999999</v>
      </c>
      <c r="G1512">
        <v>-64.98</v>
      </c>
      <c r="H1512">
        <v>-4</v>
      </c>
      <c r="I1512">
        <v>6.1</v>
      </c>
      <c r="J1512" t="str">
        <f>HYPERLINK("https://climate.onebuilding.org/WMO_Region_4_North_and_Central_America/VIR_U_S_Virgin_Islands/VIR_ST_St.Thomas-Charlotte.Amalie-King.Intl.AP.785430_TMYx.2004-2018.zip")</f>
        <v>https://climate.onebuilding.org/WMO_Region_4_North_and_Central_America/VIR_U_S_Virgin_Islands/VIR_ST_St.Thomas-Charlotte.Amalie-King.Intl.AP.785430_TMYx.2004-2018.zip</v>
      </c>
    </row>
    <row r="1513" spans="1:10" x14ac:dyDescent="0.25">
      <c r="A1513" t="s">
        <v>891</v>
      </c>
      <c r="B1513" t="s">
        <v>240</v>
      </c>
      <c r="C1513" t="s">
        <v>892</v>
      </c>
      <c r="D1513">
        <v>785430</v>
      </c>
      <c r="E1513" t="s">
        <v>10</v>
      </c>
      <c r="F1513">
        <v>18.335999999999999</v>
      </c>
      <c r="G1513">
        <v>-64.98</v>
      </c>
      <c r="H1513">
        <v>-4</v>
      </c>
      <c r="I1513">
        <v>6.1</v>
      </c>
      <c r="J1513" t="str">
        <f>HYPERLINK("https://climate.onebuilding.org/WMO_Region_4_North_and_Central_America/VIR_U_S_Virgin_Islands/VIR_ST_St.Thomas-Charlotte.Amalie-King.Intl.AP.785430_TMYx.2007-2021.zip")</f>
        <v>https://climate.onebuilding.org/WMO_Region_4_North_and_Central_America/VIR_U_S_Virgin_Islands/VIR_ST_St.Thomas-Charlotte.Amalie-King.Intl.AP.785430_TMYx.2007-2021.zip</v>
      </c>
    </row>
    <row r="1514" spans="1:10" x14ac:dyDescent="0.25">
      <c r="A1514" t="s">
        <v>891</v>
      </c>
      <c r="B1514" t="s">
        <v>240</v>
      </c>
      <c r="C1514" t="s">
        <v>892</v>
      </c>
      <c r="D1514">
        <v>785430</v>
      </c>
      <c r="E1514" t="s">
        <v>10</v>
      </c>
      <c r="F1514">
        <v>18.335999999999999</v>
      </c>
      <c r="G1514">
        <v>-64.98</v>
      </c>
      <c r="H1514">
        <v>-4</v>
      </c>
      <c r="I1514">
        <v>6.1</v>
      </c>
      <c r="J1514" t="str">
        <f>HYPERLINK("https://climate.onebuilding.org/WMO_Region_4_North_and_Central_America/VIR_U_S_Virgin_Islands/VIR_ST_St.Thomas-Charlotte.Amalie-King.Intl.AP.785430_TMYx.2009-2023.zip")</f>
        <v>https://climate.onebuilding.org/WMO_Region_4_North_and_Central_America/VIR_U_S_Virgin_Islands/VIR_ST_St.Thomas-Charlotte.Amalie-King.Intl.AP.785430_TMYx.2009-2023.zip</v>
      </c>
    </row>
    <row r="1515" spans="1:10" x14ac:dyDescent="0.25">
      <c r="A1515" t="s">
        <v>891</v>
      </c>
      <c r="B1515" t="s">
        <v>240</v>
      </c>
      <c r="C1515" t="s">
        <v>892</v>
      </c>
      <c r="D1515">
        <v>785430</v>
      </c>
      <c r="E1515" t="s">
        <v>10</v>
      </c>
      <c r="F1515">
        <v>18.335999999999999</v>
      </c>
      <c r="G1515">
        <v>-64.98</v>
      </c>
      <c r="H1515">
        <v>-4</v>
      </c>
      <c r="I1515">
        <v>6.1</v>
      </c>
      <c r="J1515" t="str">
        <f>HYPERLINK("https://climate.onebuilding.org/WMO_Region_4_North_and_Central_America/VIR_U_S_Virgin_Islands/VIR_ST_St.Thomas-Charlotte.Amalie-King.Intl.AP.785430_TMYx.zip")</f>
        <v>https://climate.onebuilding.org/WMO_Region_4_North_and_Central_America/VIR_U_S_Virgin_Islands/VIR_ST_St.Thomas-Charlotte.Amalie-King.Intl.AP.785430_TMYx.zip</v>
      </c>
    </row>
    <row r="1516" spans="1:10" x14ac:dyDescent="0.25">
      <c r="A1516" t="s">
        <v>891</v>
      </c>
      <c r="B1516" t="s">
        <v>89</v>
      </c>
      <c r="C1516" t="s">
        <v>894</v>
      </c>
      <c r="D1516">
        <v>785510</v>
      </c>
      <c r="E1516" t="s">
        <v>895</v>
      </c>
      <c r="F1516">
        <v>17.7</v>
      </c>
      <c r="G1516">
        <v>-64.783000000000001</v>
      </c>
      <c r="H1516">
        <v>-4</v>
      </c>
      <c r="I1516">
        <v>13</v>
      </c>
      <c r="J1516" t="str">
        <f>HYPERLINK("https://climate.onebuilding.org/WMO_Region_4_North_and_Central_America/VIR_U_S_Virgin_Islands/VIR_SC_St.Croix-Christiansted-Rohlsen.AP.785510_TMYx.2004-2018.zip")</f>
        <v>https://climate.onebuilding.org/WMO_Region_4_North_and_Central_America/VIR_U_S_Virgin_Islands/VIR_SC_St.Croix-Christiansted-Rohlsen.AP.785510_TMYx.2004-2018.zip</v>
      </c>
    </row>
    <row r="1517" spans="1:10" x14ac:dyDescent="0.25">
      <c r="A1517" t="s">
        <v>891</v>
      </c>
      <c r="B1517" t="s">
        <v>89</v>
      </c>
      <c r="C1517" t="s">
        <v>894</v>
      </c>
      <c r="D1517">
        <v>785510</v>
      </c>
      <c r="E1517" t="s">
        <v>10</v>
      </c>
      <c r="F1517">
        <v>17.7</v>
      </c>
      <c r="G1517">
        <v>-64.813000000000002</v>
      </c>
      <c r="H1517">
        <v>-4</v>
      </c>
      <c r="I1517">
        <v>13</v>
      </c>
      <c r="J1517" t="str">
        <f>HYPERLINK("https://climate.onebuilding.org/WMO_Region_4_North_and_Central_America/VIR_U_S_Virgin_Islands/VIR_SC_St.Croix-Christiansted-Rohlsen.AP.785510_TMYx.2007-2021.zip")</f>
        <v>https://climate.onebuilding.org/WMO_Region_4_North_and_Central_America/VIR_U_S_Virgin_Islands/VIR_SC_St.Croix-Christiansted-Rohlsen.AP.785510_TMYx.2007-2021.zip</v>
      </c>
    </row>
    <row r="1518" spans="1:10" x14ac:dyDescent="0.25">
      <c r="A1518" t="s">
        <v>891</v>
      </c>
      <c r="B1518" t="s">
        <v>89</v>
      </c>
      <c r="C1518" t="s">
        <v>894</v>
      </c>
      <c r="D1518">
        <v>785510</v>
      </c>
      <c r="E1518" t="s">
        <v>10</v>
      </c>
      <c r="F1518">
        <v>17.7</v>
      </c>
      <c r="G1518">
        <v>-64.813000000000002</v>
      </c>
      <c r="H1518">
        <v>-4</v>
      </c>
      <c r="I1518">
        <v>13</v>
      </c>
      <c r="J1518" t="str">
        <f>HYPERLINK("https://climate.onebuilding.org/WMO_Region_4_North_and_Central_America/VIR_U_S_Virgin_Islands/VIR_SC_St.Croix-Christiansted-Rohlsen.AP.785510_TMYx.2009-2023.zip")</f>
        <v>https://climate.onebuilding.org/WMO_Region_4_North_and_Central_America/VIR_U_S_Virgin_Islands/VIR_SC_St.Croix-Christiansted-Rohlsen.AP.785510_TMYx.2009-2023.zip</v>
      </c>
    </row>
    <row r="1519" spans="1:10" x14ac:dyDescent="0.25">
      <c r="A1519" t="s">
        <v>891</v>
      </c>
      <c r="B1519" t="s">
        <v>89</v>
      </c>
      <c r="C1519" t="s">
        <v>894</v>
      </c>
      <c r="D1519">
        <v>785510</v>
      </c>
      <c r="E1519" t="s">
        <v>10</v>
      </c>
      <c r="F1519">
        <v>17.7</v>
      </c>
      <c r="G1519">
        <v>-64.813000000000002</v>
      </c>
      <c r="H1519">
        <v>-4</v>
      </c>
      <c r="I1519">
        <v>13</v>
      </c>
      <c r="J1519" t="str">
        <f>HYPERLINK("https://climate.onebuilding.org/WMO_Region_4_North_and_Central_America/VIR_U_S_Virgin_Islands/VIR_SC_St.Croix-Christiansted-Rohlsen.AP.785510_TMYx.zip")</f>
        <v>https://climate.onebuilding.org/WMO_Region_4_North_and_Central_America/VIR_U_S_Virgin_Islands/VIR_SC_St.Croix-Christiansted-Rohlsen.AP.785510_TMYx.zip</v>
      </c>
    </row>
    <row r="1520" spans="1:10" x14ac:dyDescent="0.25">
      <c r="A1520" t="s">
        <v>891</v>
      </c>
      <c r="B1520" t="s">
        <v>240</v>
      </c>
      <c r="C1520" t="s">
        <v>896</v>
      </c>
      <c r="D1520">
        <v>994042</v>
      </c>
      <c r="E1520" t="s">
        <v>897</v>
      </c>
      <c r="F1520">
        <v>18.329999999999998</v>
      </c>
      <c r="G1520">
        <v>-64.92</v>
      </c>
      <c r="H1520">
        <v>-4</v>
      </c>
      <c r="I1520">
        <v>5</v>
      </c>
      <c r="J1520" t="str">
        <f>HYPERLINK("https://climate.onebuilding.org/WMO_Region_4_North_and_Central_America/VIR_U_S_Virgin_Islands/VIR_ST_St.Thomas-Charlotte.Amalie.994042_TMYx.2004-2018.zip")</f>
        <v>https://climate.onebuilding.org/WMO_Region_4_North_and_Central_America/VIR_U_S_Virgin_Islands/VIR_ST_St.Thomas-Charlotte.Amalie.994042_TMYx.2004-2018.zip</v>
      </c>
    </row>
    <row r="1521" spans="1:10" x14ac:dyDescent="0.25">
      <c r="A1521" t="s">
        <v>891</v>
      </c>
      <c r="B1521" t="s">
        <v>240</v>
      </c>
      <c r="C1521" t="s">
        <v>896</v>
      </c>
      <c r="D1521">
        <v>994042</v>
      </c>
      <c r="E1521" t="s">
        <v>10</v>
      </c>
      <c r="F1521">
        <v>18.335100000000001</v>
      </c>
      <c r="G1521">
        <v>-64.919700000000006</v>
      </c>
      <c r="H1521">
        <v>-4</v>
      </c>
      <c r="I1521">
        <v>5</v>
      </c>
      <c r="J1521" t="str">
        <f>HYPERLINK("https://climate.onebuilding.org/WMO_Region_4_North_and_Central_America/VIR_U_S_Virgin_Islands/VIR_ST_St.Thomas-Charlotte.Amalie.994042_TMYx.2007-2021.zip")</f>
        <v>https://climate.onebuilding.org/WMO_Region_4_North_and_Central_America/VIR_U_S_Virgin_Islands/VIR_ST_St.Thomas-Charlotte.Amalie.994042_TMYx.2007-2021.zip</v>
      </c>
    </row>
    <row r="1522" spans="1:10" x14ac:dyDescent="0.25">
      <c r="A1522" t="s">
        <v>891</v>
      </c>
      <c r="B1522" t="s">
        <v>240</v>
      </c>
      <c r="C1522" t="s">
        <v>896</v>
      </c>
      <c r="D1522">
        <v>994042</v>
      </c>
      <c r="E1522" t="s">
        <v>10</v>
      </c>
      <c r="F1522">
        <v>18.335100000000001</v>
      </c>
      <c r="G1522">
        <v>-64.919700000000006</v>
      </c>
      <c r="H1522">
        <v>-4</v>
      </c>
      <c r="I1522">
        <v>5</v>
      </c>
      <c r="J1522" t="str">
        <f>HYPERLINK("https://climate.onebuilding.org/WMO_Region_4_North_and_Central_America/VIR_U_S_Virgin_Islands/VIR_ST_St.Thomas-Charlotte.Amalie.994042_TMYx.2009-2023.zip")</f>
        <v>https://climate.onebuilding.org/WMO_Region_4_North_and_Central_America/VIR_U_S_Virgin_Islands/VIR_ST_St.Thomas-Charlotte.Amalie.994042_TMYx.2009-2023.zip</v>
      </c>
    </row>
    <row r="1523" spans="1:10" x14ac:dyDescent="0.25">
      <c r="A1523" t="s">
        <v>891</v>
      </c>
      <c r="B1523" t="s">
        <v>240</v>
      </c>
      <c r="C1523" t="s">
        <v>896</v>
      </c>
      <c r="D1523">
        <v>994042</v>
      </c>
      <c r="E1523" t="s">
        <v>10</v>
      </c>
      <c r="F1523">
        <v>18.335100000000001</v>
      </c>
      <c r="G1523">
        <v>-64.919700000000006</v>
      </c>
      <c r="H1523">
        <v>-4</v>
      </c>
      <c r="I1523">
        <v>5</v>
      </c>
      <c r="J1523" t="str">
        <f>HYPERLINK("https://climate.onebuilding.org/WMO_Region_4_North_and_Central_America/VIR_U_S_Virgin_Islands/VIR_ST_St.Thomas-Charlotte.Amalie.994042_TMYx.zip")</f>
        <v>https://climate.onebuilding.org/WMO_Region_4_North_and_Central_America/VIR_U_S_Virgin_Islands/VIR_ST_St.Thomas-Charlotte.Amalie.994042_TMYx.zip</v>
      </c>
    </row>
    <row r="1524" spans="1:10" x14ac:dyDescent="0.25">
      <c r="A1524" t="s">
        <v>891</v>
      </c>
      <c r="B1524" t="s">
        <v>105</v>
      </c>
      <c r="C1524" t="s">
        <v>898</v>
      </c>
      <c r="D1524">
        <v>997172</v>
      </c>
      <c r="E1524" t="s">
        <v>899</v>
      </c>
      <c r="F1524">
        <v>18.318000000000001</v>
      </c>
      <c r="G1524">
        <v>-64.724000000000004</v>
      </c>
      <c r="H1524">
        <v>-4</v>
      </c>
      <c r="I1524">
        <v>1</v>
      </c>
      <c r="J1524" t="str">
        <f>HYPERLINK("https://climate.onebuilding.org/WMO_Region_4_North_and_Central_America/VIR_U_S_Virgin_Islands/VIR_SJ_St.John-Lameshur.Bay.997172_TMYx.2004-2018.zip")</f>
        <v>https://climate.onebuilding.org/WMO_Region_4_North_and_Central_America/VIR_U_S_Virgin_Islands/VIR_SJ_St.John-Lameshur.Bay.997172_TMYx.2004-2018.zip</v>
      </c>
    </row>
    <row r="1525" spans="1:10" x14ac:dyDescent="0.25">
      <c r="A1525" t="s">
        <v>891</v>
      </c>
      <c r="B1525" t="s">
        <v>105</v>
      </c>
      <c r="C1525" t="s">
        <v>898</v>
      </c>
      <c r="D1525">
        <v>997172</v>
      </c>
      <c r="E1525" t="s">
        <v>10</v>
      </c>
      <c r="F1525">
        <v>18.318000000000001</v>
      </c>
      <c r="G1525">
        <v>-64.724000000000004</v>
      </c>
      <c r="H1525">
        <v>-4</v>
      </c>
      <c r="I1525">
        <v>1</v>
      </c>
      <c r="J1525" t="str">
        <f>HYPERLINK("https://climate.onebuilding.org/WMO_Region_4_North_and_Central_America/VIR_U_S_Virgin_Islands/VIR_SJ_St.John-Lameshur.Bay.997172_TMYx.2007-2021.zip")</f>
        <v>https://climate.onebuilding.org/WMO_Region_4_North_and_Central_America/VIR_U_S_Virgin_Islands/VIR_SJ_St.John-Lameshur.Bay.997172_TMYx.2007-2021.zip</v>
      </c>
    </row>
    <row r="1526" spans="1:10" x14ac:dyDescent="0.25">
      <c r="A1526" t="s">
        <v>891</v>
      </c>
      <c r="B1526" t="s">
        <v>105</v>
      </c>
      <c r="C1526" t="s">
        <v>898</v>
      </c>
      <c r="D1526">
        <v>997172</v>
      </c>
      <c r="E1526" t="s">
        <v>10</v>
      </c>
      <c r="F1526">
        <v>18.318000000000001</v>
      </c>
      <c r="G1526">
        <v>-64.724000000000004</v>
      </c>
      <c r="H1526">
        <v>-4</v>
      </c>
      <c r="I1526">
        <v>1</v>
      </c>
      <c r="J1526" t="str">
        <f>HYPERLINK("https://climate.onebuilding.org/WMO_Region_4_North_and_Central_America/VIR_U_S_Virgin_Islands/VIR_SJ_St.John-Lameshur.Bay.997172_TMYx.2009-2023.zip")</f>
        <v>https://climate.onebuilding.org/WMO_Region_4_North_and_Central_America/VIR_U_S_Virgin_Islands/VIR_SJ_St.John-Lameshur.Bay.997172_TMYx.2009-2023.zip</v>
      </c>
    </row>
    <row r="1527" spans="1:10" x14ac:dyDescent="0.25">
      <c r="A1527" t="s">
        <v>891</v>
      </c>
      <c r="B1527" t="s">
        <v>105</v>
      </c>
      <c r="C1527" t="s">
        <v>898</v>
      </c>
      <c r="D1527">
        <v>997172</v>
      </c>
      <c r="E1527" t="s">
        <v>10</v>
      </c>
      <c r="F1527">
        <v>18.318000000000001</v>
      </c>
      <c r="G1527">
        <v>-64.724000000000004</v>
      </c>
      <c r="H1527">
        <v>-4</v>
      </c>
      <c r="I1527">
        <v>1</v>
      </c>
      <c r="J1527" t="str">
        <f>HYPERLINK("https://climate.onebuilding.org/WMO_Region_4_North_and_Central_America/VIR_U_S_Virgin_Islands/VIR_SJ_St.John-Lameshur.Bay.997172_TMYx.zip")</f>
        <v>https://climate.onebuilding.org/WMO_Region_4_North_and_Central_America/VIR_U_S_Virgin_Islands/VIR_SJ_St.John-Lameshur.Bay.997172_TMYx.zip</v>
      </c>
    </row>
    <row r="1528" spans="1:10" x14ac:dyDescent="0.25">
      <c r="A1528" t="s">
        <v>891</v>
      </c>
      <c r="B1528" t="s">
        <v>89</v>
      </c>
      <c r="C1528" t="s">
        <v>900</v>
      </c>
      <c r="D1528">
        <v>997349</v>
      </c>
      <c r="E1528" t="s">
        <v>901</v>
      </c>
      <c r="F1528">
        <v>17.7</v>
      </c>
      <c r="G1528">
        <v>-64.75</v>
      </c>
      <c r="H1528">
        <v>-4</v>
      </c>
      <c r="I1528">
        <v>10</v>
      </c>
      <c r="J1528" t="str">
        <f>HYPERLINK("https://climate.onebuilding.org/WMO_Region_4_North_and_Central_America/VIR_U_S_Virgin_Islands/VIR_SC_St.Croix-Lime.Tree.Bay.997349_TMYx.2004-2018.zip")</f>
        <v>https://climate.onebuilding.org/WMO_Region_4_North_and_Central_America/VIR_U_S_Virgin_Islands/VIR_SC_St.Croix-Lime.Tree.Bay.997349_TMYx.2004-2018.zip</v>
      </c>
    </row>
    <row r="1529" spans="1:10" x14ac:dyDescent="0.25">
      <c r="A1529" t="s">
        <v>891</v>
      </c>
      <c r="B1529" t="s">
        <v>89</v>
      </c>
      <c r="C1529" t="s">
        <v>900</v>
      </c>
      <c r="D1529">
        <v>997349</v>
      </c>
      <c r="E1529" t="s">
        <v>10</v>
      </c>
      <c r="F1529">
        <v>17.695</v>
      </c>
      <c r="G1529">
        <v>-64.754000000000005</v>
      </c>
      <c r="H1529">
        <v>-4</v>
      </c>
      <c r="I1529">
        <v>10</v>
      </c>
      <c r="J1529" t="str">
        <f>HYPERLINK("https://climate.onebuilding.org/WMO_Region_4_North_and_Central_America/VIR_U_S_Virgin_Islands/VIR_SC_St.Croix-Lime.Tree.Bay.997349_TMYx.2007-2021.zip")</f>
        <v>https://climate.onebuilding.org/WMO_Region_4_North_and_Central_America/VIR_U_S_Virgin_Islands/VIR_SC_St.Croix-Lime.Tree.Bay.997349_TMYx.2007-2021.zip</v>
      </c>
    </row>
    <row r="1530" spans="1:10" x14ac:dyDescent="0.25">
      <c r="A1530" t="s">
        <v>891</v>
      </c>
      <c r="B1530" t="s">
        <v>89</v>
      </c>
      <c r="C1530" t="s">
        <v>900</v>
      </c>
      <c r="D1530">
        <v>997349</v>
      </c>
      <c r="E1530" t="s">
        <v>10</v>
      </c>
      <c r="F1530">
        <v>17.695</v>
      </c>
      <c r="G1530">
        <v>-64.754000000000005</v>
      </c>
      <c r="H1530">
        <v>-4</v>
      </c>
      <c r="I1530">
        <v>10</v>
      </c>
      <c r="J1530" t="str">
        <f>HYPERLINK("https://climate.onebuilding.org/WMO_Region_4_North_and_Central_America/VIR_U_S_Virgin_Islands/VIR_SC_St.Croix-Lime.Tree.Bay.997349_TMYx.2009-2023.zip")</f>
        <v>https://climate.onebuilding.org/WMO_Region_4_North_and_Central_America/VIR_U_S_Virgin_Islands/VIR_SC_St.Croix-Lime.Tree.Bay.997349_TMYx.2009-2023.zip</v>
      </c>
    </row>
    <row r="1531" spans="1:10" x14ac:dyDescent="0.25">
      <c r="A1531" t="s">
        <v>891</v>
      </c>
      <c r="B1531" t="s">
        <v>89</v>
      </c>
      <c r="C1531" t="s">
        <v>900</v>
      </c>
      <c r="D1531">
        <v>997349</v>
      </c>
      <c r="E1531" t="s">
        <v>10</v>
      </c>
      <c r="F1531">
        <v>17.695</v>
      </c>
      <c r="G1531">
        <v>-64.754000000000005</v>
      </c>
      <c r="H1531">
        <v>-4</v>
      </c>
      <c r="I1531">
        <v>10</v>
      </c>
      <c r="J1531" t="str">
        <f>HYPERLINK("https://climate.onebuilding.org/WMO_Region_4_North_and_Central_America/VIR_U_S_Virgin_Islands/VIR_SC_St.Croix-Lime.Tree.Bay.997349_TMYx.zip")</f>
        <v>https://climate.onebuilding.org/WMO_Region_4_North_and_Central_America/VIR_U_S_Virgin_Islands/VIR_SC_St.Croix-Lime.Tree.Bay.997349_TMYx.zip</v>
      </c>
    </row>
    <row r="1532" spans="1:10" x14ac:dyDescent="0.25">
      <c r="A1532" t="s">
        <v>891</v>
      </c>
      <c r="B1532" t="s">
        <v>89</v>
      </c>
      <c r="C1532" t="s">
        <v>902</v>
      </c>
      <c r="D1532">
        <v>998229</v>
      </c>
      <c r="E1532" t="s">
        <v>903</v>
      </c>
      <c r="F1532">
        <v>17.75</v>
      </c>
      <c r="G1532">
        <v>-64.7</v>
      </c>
      <c r="H1532">
        <v>-4</v>
      </c>
      <c r="I1532">
        <v>3</v>
      </c>
      <c r="J1532" t="str">
        <f>HYPERLINK("https://climate.onebuilding.org/WMO_Region_4_North_and_Central_America/VIR_U_S_Virgin_Islands/VIR_SC_St.Croix-Christiansted.Harbor.998229_TMYx.2004-2018.zip")</f>
        <v>https://climate.onebuilding.org/WMO_Region_4_North_and_Central_America/VIR_U_S_Virgin_Islands/VIR_SC_St.Croix-Christiansted.Harbor.998229_TMYx.2004-2018.zip</v>
      </c>
    </row>
    <row r="1533" spans="1:10" x14ac:dyDescent="0.25">
      <c r="A1533" t="s">
        <v>891</v>
      </c>
      <c r="B1533" t="s">
        <v>89</v>
      </c>
      <c r="C1533" t="s">
        <v>902</v>
      </c>
      <c r="D1533">
        <v>998229</v>
      </c>
      <c r="E1533" t="s">
        <v>10</v>
      </c>
      <c r="F1533">
        <v>17.75</v>
      </c>
      <c r="G1533">
        <v>-64.7</v>
      </c>
      <c r="H1533">
        <v>-4</v>
      </c>
      <c r="I1533">
        <v>3</v>
      </c>
      <c r="J1533" t="str">
        <f>HYPERLINK("https://climate.onebuilding.org/WMO_Region_4_North_and_Central_America/VIR_U_S_Virgin_Islands/VIR_SC_St.Croix-Christiansted.Harbor.998229_TMYx.2007-2021.zip")</f>
        <v>https://climate.onebuilding.org/WMO_Region_4_North_and_Central_America/VIR_U_S_Virgin_Islands/VIR_SC_St.Croix-Christiansted.Harbor.998229_TMYx.2007-2021.zip</v>
      </c>
    </row>
    <row r="1534" spans="1:10" x14ac:dyDescent="0.25">
      <c r="A1534" t="s">
        <v>891</v>
      </c>
      <c r="B1534" t="s">
        <v>89</v>
      </c>
      <c r="C1534" t="s">
        <v>902</v>
      </c>
      <c r="D1534">
        <v>998229</v>
      </c>
      <c r="E1534" t="s">
        <v>10</v>
      </c>
      <c r="F1534">
        <v>17.75</v>
      </c>
      <c r="G1534">
        <v>-64.7</v>
      </c>
      <c r="H1534">
        <v>-4</v>
      </c>
      <c r="I1534">
        <v>3</v>
      </c>
      <c r="J1534" t="str">
        <f>HYPERLINK("https://climate.onebuilding.org/WMO_Region_4_North_and_Central_America/VIR_U_S_Virgin_Islands/VIR_SC_St.Croix-Christiansted.Harbor.998229_TMYx.2009-2023.zip")</f>
        <v>https://climate.onebuilding.org/WMO_Region_4_North_and_Central_America/VIR_U_S_Virgin_Islands/VIR_SC_St.Croix-Christiansted.Harbor.998229_TMYx.2009-2023.zip</v>
      </c>
    </row>
    <row r="1535" spans="1:10" x14ac:dyDescent="0.25">
      <c r="A1535" t="s">
        <v>891</v>
      </c>
      <c r="B1535" t="s">
        <v>89</v>
      </c>
      <c r="C1535" t="s">
        <v>902</v>
      </c>
      <c r="D1535">
        <v>998229</v>
      </c>
      <c r="E1535" t="s">
        <v>10</v>
      </c>
      <c r="F1535">
        <v>17.75</v>
      </c>
      <c r="G1535">
        <v>-64.7</v>
      </c>
      <c r="H1535">
        <v>-4</v>
      </c>
      <c r="I1535">
        <v>3</v>
      </c>
      <c r="J1535" t="str">
        <f>HYPERLINK("https://climate.onebuilding.org/WMO_Region_4_North_and_Central_America/VIR_U_S_Virgin_Islands/VIR_SC_St.Croix-Christiansted.Harbor.998229_TMYx.zip")</f>
        <v>https://climate.onebuilding.org/WMO_Region_4_North_and_Central_America/VIR_U_S_Virgin_Islands/VIR_SC_St.Croix-Christiansted.Harbor.998229_TMYx.zip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Reg4_NA_CA_Caribbean_TMYx_EPW_P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2024-08-22T14:14:01Z</dcterms:created>
  <dcterms:modified xsi:type="dcterms:W3CDTF">2024-08-22T14:16:12Z</dcterms:modified>
</cp:coreProperties>
</file>